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847" activeTab="0"/>
  </bookViews>
  <sheets>
    <sheet name="ImgScale" sheetId="1" r:id="rId1"/>
    <sheet name="Targets" sheetId="2" r:id="rId2"/>
    <sheet name="Exposure" sheetId="3" r:id="rId3"/>
    <sheet name="Projection" sheetId="4" r:id="rId4"/>
    <sheet name="Projection (2)" sheetId="5" r:id="rId5"/>
  </sheets>
  <definedNames>
    <definedName name="CameraNames">'ImgScale'!$C$45:$C$51</definedName>
    <definedName name="Catalog">"DeepSkyRange"</definedName>
    <definedName name="CatalogNames">'Targets'!$A$4:$A$246</definedName>
    <definedName name="DeepSkyRange">'Targets'!$A$3:$I$246</definedName>
    <definedName name="ExtendNames">'ImgScale'!$B$57:$B$112</definedName>
    <definedName name="ExtNames">'ImgScale'!#REF!</definedName>
    <definedName name="_xlnm.Print_Area" localSheetId="1">'Targets'!$A$4:$H$246</definedName>
    <definedName name="_xlnm.Print_Titles" localSheetId="1">'Targets'!$3:$3</definedName>
    <definedName name="SortCategories">'ImgScale'!$C$56:$K$56</definedName>
    <definedName name="TargetNames">'Targets'!$I$4:$I$246</definedName>
    <definedName name="TelescopeNames">'ImgScale'!$B$27:$B$39</definedName>
  </definedNames>
  <calcPr fullCalcOnLoad="1"/>
</workbook>
</file>

<file path=xl/sharedStrings.xml><?xml version="1.0" encoding="utf-8"?>
<sst xmlns="http://schemas.openxmlformats.org/spreadsheetml/2006/main" count="1979" uniqueCount="1277">
  <si>
    <t>Aperture:</t>
  </si>
  <si>
    <t>Focal Length:</t>
  </si>
  <si>
    <t>Focal Ratio:</t>
  </si>
  <si>
    <t>Exit Pupil</t>
  </si>
  <si>
    <t>Inches</t>
  </si>
  <si>
    <t>Millimeters</t>
  </si>
  <si>
    <t>Focal Ratio vs. Eyepiece (mm)</t>
  </si>
  <si>
    <t>Distance - Center of Eye-</t>
  </si>
  <si>
    <t>Piece to Film Plane (S2)</t>
  </si>
  <si>
    <t xml:space="preserve"> </t>
  </si>
  <si>
    <t>EYEPIECE PROJECTION</t>
  </si>
  <si>
    <t>Focal Length vs. Eyepiece (mm)</t>
  </si>
  <si>
    <t>Jupiter</t>
  </si>
  <si>
    <t>Moon</t>
  </si>
  <si>
    <t>Moon - Qtr.</t>
  </si>
  <si>
    <t>or Well Lit</t>
  </si>
  <si>
    <t>Moon - Wide</t>
  </si>
  <si>
    <t>Crescent or</t>
  </si>
  <si>
    <t>Dimly Lit</t>
  </si>
  <si>
    <t>Gibbous</t>
  </si>
  <si>
    <t>Full</t>
  </si>
  <si>
    <t>Moon - Thin</t>
  </si>
  <si>
    <t>Crescent</t>
  </si>
  <si>
    <t>Saturn or</t>
  </si>
  <si>
    <t>Exposure Table:</t>
  </si>
  <si>
    <t xml:space="preserve">Film Speed: </t>
  </si>
  <si>
    <t xml:space="preserve"> (ISO)</t>
  </si>
  <si>
    <t>x</t>
  </si>
  <si>
    <t>f-ratio</t>
  </si>
  <si>
    <t>Focal</t>
  </si>
  <si>
    <t>Length</t>
  </si>
  <si>
    <t>Ideal Scale:</t>
  </si>
  <si>
    <t>1.5 to 2.5 arc-seconds per pixel (deep-sky)</t>
  </si>
  <si>
    <t>Arc-Secs Per Pixel</t>
  </si>
  <si>
    <t>(1 x 1)</t>
  </si>
  <si>
    <t>Telescope</t>
  </si>
  <si>
    <t>0.25 to 0.7 arc-seconds per pixel (planets)</t>
  </si>
  <si>
    <t>ETX-125</t>
  </si>
  <si>
    <t>FSQ-106N</t>
  </si>
  <si>
    <t>x Sidereal</t>
  </si>
  <si>
    <t>Target Latitude</t>
  </si>
  <si>
    <t>Degrees</t>
  </si>
  <si>
    <t>X pix/sec</t>
  </si>
  <si>
    <t>Y pix/sec</t>
  </si>
  <si>
    <t>Guide Speed (1x1)</t>
  </si>
  <si>
    <t>Guide Speed (2x2)</t>
  </si>
  <si>
    <t>Size X  x  Y</t>
  </si>
  <si>
    <t>Extender / Reducer:</t>
  </si>
  <si>
    <t>Selected Eyepiece:</t>
  </si>
  <si>
    <t>Extended Name</t>
  </si>
  <si>
    <t>Eyepiece Manufacturer</t>
  </si>
  <si>
    <t>Type</t>
  </si>
  <si>
    <t>Eyepiece Focal Length</t>
  </si>
  <si>
    <t>Field of View</t>
  </si>
  <si>
    <t>Barrel Size</t>
  </si>
  <si>
    <t>No. Elements</t>
  </si>
  <si>
    <t>Apparent Field of View</t>
  </si>
  <si>
    <t>Eye Relief</t>
  </si>
  <si>
    <t>Meade</t>
  </si>
  <si>
    <t>Super Plössl 4000</t>
  </si>
  <si>
    <t> 1¼"</t>
  </si>
  <si>
    <t>Super Wide 4000</t>
  </si>
  <si>
    <t>Ultra Wide 4000</t>
  </si>
  <si>
    <t> 2"</t>
  </si>
  <si>
    <t>Televue</t>
  </si>
  <si>
    <t> Radian</t>
  </si>
  <si>
    <t> Nagler 6</t>
  </si>
  <si>
    <t> Plössl</t>
  </si>
  <si>
    <t> Nagler 4</t>
  </si>
  <si>
    <t> 2" &amp; 1¼"</t>
  </si>
  <si>
    <t> Panoptic</t>
  </si>
  <si>
    <t> Nagler 5</t>
  </si>
  <si>
    <t> Nagler</t>
  </si>
  <si>
    <t>C9.25</t>
  </si>
  <si>
    <t>Eyepiece Database:</t>
  </si>
  <si>
    <t>Telescope Database:</t>
  </si>
  <si>
    <t>Magnifi-
cation</t>
  </si>
  <si>
    <t>Aperture</t>
  </si>
  <si>
    <t>Selected Telescope:</t>
  </si>
  <si>
    <t>Selected Camera:</t>
  </si>
  <si>
    <t>AR-5</t>
  </si>
  <si>
    <t>ST-80</t>
  </si>
  <si>
    <t>ED80Sf</t>
  </si>
  <si>
    <t>XT8 Dob</t>
  </si>
  <si>
    <t>Telescope Name</t>
  </si>
  <si>
    <t>Mfr.</t>
  </si>
  <si>
    <t>Model</t>
  </si>
  <si>
    <t>Orion</t>
  </si>
  <si>
    <t>Vixen</t>
  </si>
  <si>
    <t>Takahashi</t>
  </si>
  <si>
    <t>Celestron</t>
  </si>
  <si>
    <t>Generic</t>
  </si>
  <si>
    <t>CCD Camera</t>
  </si>
  <si>
    <t>Resolution, pixels</t>
  </si>
  <si>
    <t>Pixel size, microns</t>
  </si>
  <si>
    <t>CCD Chip</t>
  </si>
  <si>
    <t>Sony ICX285AK EXview HAD</t>
  </si>
  <si>
    <t>Sony ICX249AK Exview</t>
  </si>
  <si>
    <t>PCVC840K</t>
  </si>
  <si>
    <t>Starlight Express SXV-H9C</t>
  </si>
  <si>
    <t>Starlight Express MX7C</t>
  </si>
  <si>
    <t>Philips ToUcam Pro II</t>
  </si>
  <si>
    <t>Camera Database:</t>
  </si>
  <si>
    <t>Native Focal Length</t>
  </si>
  <si>
    <t>Apparent</t>
  </si>
  <si>
    <t>Telephoto</t>
  </si>
  <si>
    <t>Lens</t>
  </si>
  <si>
    <t>Standard</t>
  </si>
  <si>
    <t>CCD / Camera Scale</t>
  </si>
  <si>
    <t>Eyepiece Model</t>
  </si>
  <si>
    <t>SP Reticle</t>
  </si>
  <si>
    <t>CCD/Camera</t>
  </si>
  <si>
    <t>Olympus OM-1 (Film)</t>
  </si>
  <si>
    <t>Hi Res 35mm Film</t>
  </si>
  <si>
    <t>UO</t>
  </si>
  <si>
    <t>Ortho</t>
  </si>
  <si>
    <t>Catalog</t>
  </si>
  <si>
    <t>RA</t>
  </si>
  <si>
    <t xml:space="preserve">  Dec</t>
  </si>
  <si>
    <t>Magnitude</t>
  </si>
  <si>
    <t xml:space="preserve">Type  </t>
  </si>
  <si>
    <t>Const.</t>
  </si>
  <si>
    <t>Common Name / Comments</t>
  </si>
  <si>
    <t>NGC 104</t>
  </si>
  <si>
    <t>00h 24m 10s</t>
  </si>
  <si>
    <t>-72° 04' 37"</t>
  </si>
  <si>
    <t>4</t>
  </si>
  <si>
    <t>30.9'</t>
  </si>
  <si>
    <t>Globular Cluster</t>
  </si>
  <si>
    <t>Tuc</t>
  </si>
  <si>
    <t>47 Tucanae</t>
  </si>
  <si>
    <t>NGC 55</t>
  </si>
  <si>
    <t>00h 14m 52s</t>
  </si>
  <si>
    <t>-39° 11' 00"</t>
  </si>
  <si>
    <t>32'x6'</t>
  </si>
  <si>
    <t>Galaxy</t>
  </si>
  <si>
    <t>Sci</t>
  </si>
  <si>
    <t>NGC 134</t>
  </si>
  <si>
    <t>00h 30m 24s</t>
  </si>
  <si>
    <t>-33° 15' 00"</t>
  </si>
  <si>
    <t>10'</t>
  </si>
  <si>
    <t>Scl</t>
  </si>
  <si>
    <t>NGC 288</t>
  </si>
  <si>
    <t>00h 52m 48s</t>
  </si>
  <si>
    <t>-26° 35' 00"</t>
  </si>
  <si>
    <t>14'</t>
  </si>
  <si>
    <t>NGC 253</t>
  </si>
  <si>
    <t>00h 47m 35s</t>
  </si>
  <si>
    <t>-25° 17' 01"</t>
  </si>
  <si>
    <t>7.2</t>
  </si>
  <si>
    <t>25.0'x7.0'</t>
  </si>
  <si>
    <t>NGC 247</t>
  </si>
  <si>
    <t>00h 47m 11s</t>
  </si>
  <si>
    <t>-20° 45' 21"</t>
  </si>
  <si>
    <t>9.1</t>
  </si>
  <si>
    <t>20.0'x7.0'</t>
  </si>
  <si>
    <t>Cet</t>
  </si>
  <si>
    <t>NGC 246</t>
  </si>
  <si>
    <t>00h 47m 00s</t>
  </si>
  <si>
    <t>-11° 53' 00"</t>
  </si>
  <si>
    <t>240"x210"</t>
  </si>
  <si>
    <t>Planetary Nebula</t>
  </si>
  <si>
    <t>M74</t>
  </si>
  <si>
    <t>01h 36m 42s</t>
  </si>
  <si>
    <t>15° 47' 00"</t>
  </si>
  <si>
    <t>10.2'x9.5'</t>
  </si>
  <si>
    <t>Psc</t>
  </si>
  <si>
    <t>M33</t>
  </si>
  <si>
    <t>01h 33m 54s</t>
  </si>
  <si>
    <t>30° 39' 00"</t>
  </si>
  <si>
    <t>73'x45'</t>
  </si>
  <si>
    <t>Tri</t>
  </si>
  <si>
    <t>Triangulum Galaxy</t>
  </si>
  <si>
    <t>NGC 752</t>
  </si>
  <si>
    <t>01h 57m 51s</t>
  </si>
  <si>
    <t>37° 41' 05"</t>
  </si>
  <si>
    <t>5.7</t>
  </si>
  <si>
    <t>50.0'</t>
  </si>
  <si>
    <t>Open Cluster</t>
  </si>
  <si>
    <t>And</t>
  </si>
  <si>
    <t>M32</t>
  </si>
  <si>
    <t>00h 42m 42s</t>
  </si>
  <si>
    <t>40° 52' 00"</t>
  </si>
  <si>
    <t>8'x6'</t>
  </si>
  <si>
    <t>M31</t>
  </si>
  <si>
    <t>41° 16' 00"</t>
  </si>
  <si>
    <t>178'</t>
  </si>
  <si>
    <t>Andromeda Galaxy</t>
  </si>
  <si>
    <t>M110</t>
  </si>
  <si>
    <t>00h 40m 24s</t>
  </si>
  <si>
    <t>41° 41' 00"</t>
  </si>
  <si>
    <t>17'x10'</t>
  </si>
  <si>
    <t>M76</t>
  </si>
  <si>
    <t>01h 42m 24s</t>
  </si>
  <si>
    <t>51° 34' 00"</t>
  </si>
  <si>
    <t>2.7'x1.8'</t>
  </si>
  <si>
    <t>Per</t>
  </si>
  <si>
    <t>Little Dumbbell Nebula</t>
  </si>
  <si>
    <t>NGC 281</t>
  </si>
  <si>
    <t>56° 37' 00"</t>
  </si>
  <si>
    <t>35'</t>
  </si>
  <si>
    <t>Nebula + Cluster</t>
  </si>
  <si>
    <t>Cas</t>
  </si>
  <si>
    <t>Pac-Man, Giant Comma Neb.</t>
  </si>
  <si>
    <t>NGC 436</t>
  </si>
  <si>
    <t>01h 15m 30s</t>
  </si>
  <si>
    <t>58° 49' 00"</t>
  </si>
  <si>
    <t>6.0'</t>
  </si>
  <si>
    <t>NGC 457</t>
  </si>
  <si>
    <t>01h 19m 10s</t>
  </si>
  <si>
    <t>58° 20' 02"</t>
  </si>
  <si>
    <t>6.4</t>
  </si>
  <si>
    <t>13.0'</t>
  </si>
  <si>
    <t>Owl or E.T. Cluster</t>
  </si>
  <si>
    <t>M103</t>
  </si>
  <si>
    <t>01h 33m 12s</t>
  </si>
  <si>
    <t>60° 42' 00"</t>
  </si>
  <si>
    <t>NGC 129</t>
  </si>
  <si>
    <t>00h 29m 48s</t>
  </si>
  <si>
    <t>60° 14' 00"</t>
  </si>
  <si>
    <t>21'</t>
  </si>
  <si>
    <t>NGC 659</t>
  </si>
  <si>
    <t>01h 44m 16s</t>
  </si>
  <si>
    <t>7.9</t>
  </si>
  <si>
    <t>5.0'</t>
  </si>
  <si>
    <t>NGC 225</t>
  </si>
  <si>
    <t>00h 43m 28s</t>
  </si>
  <si>
    <t>61° 47' 06"</t>
  </si>
  <si>
    <t>7</t>
  </si>
  <si>
    <t>12.0'</t>
  </si>
  <si>
    <t>NGC 654</t>
  </si>
  <si>
    <t>01h 44m 10s</t>
  </si>
  <si>
    <t>61° 53' 00"</t>
  </si>
  <si>
    <t>6.5</t>
  </si>
  <si>
    <t>NGC 663</t>
  </si>
  <si>
    <t>01h 46m 04s</t>
  </si>
  <si>
    <t>61° 15' 00"</t>
  </si>
  <si>
    <t>7.1</t>
  </si>
  <si>
    <t>16.0'</t>
  </si>
  <si>
    <t>NGC 637</t>
  </si>
  <si>
    <t>01h 41m 48s</t>
  </si>
  <si>
    <t>64° 02' 00"</t>
  </si>
  <si>
    <t>4'</t>
  </si>
  <si>
    <t>NGC 40</t>
  </si>
  <si>
    <t>00h 13m 08s</t>
  </si>
  <si>
    <t>72° 31' 47"</t>
  </si>
  <si>
    <t>10.7</t>
  </si>
  <si>
    <t>1.0'x0.7'</t>
  </si>
  <si>
    <t>Cep</t>
  </si>
  <si>
    <t>NGC 1316</t>
  </si>
  <si>
    <t>03h 22m 42s</t>
  </si>
  <si>
    <t>-37° 12' 00"</t>
  </si>
  <si>
    <t>4'x3'</t>
  </si>
  <si>
    <t>For</t>
  </si>
  <si>
    <t>Fornax Gal Cluster</t>
  </si>
  <si>
    <t>03h 38m 31s</t>
  </si>
  <si>
    <t>-35° 26' 40"</t>
  </si>
  <si>
    <t>3°x2°</t>
  </si>
  <si>
    <t>Galactic Cluster</t>
  </si>
  <si>
    <t>NGC 1360</t>
  </si>
  <si>
    <t>03h 33m 18s</t>
  </si>
  <si>
    <t>-25° 51' 00"</t>
  </si>
  <si>
    <t>390"</t>
  </si>
  <si>
    <t>M77</t>
  </si>
  <si>
    <t>02h 42m 42s</t>
  </si>
  <si>
    <t>-00° 01' 00"</t>
  </si>
  <si>
    <t>7'x6'</t>
  </si>
  <si>
    <t>M45</t>
  </si>
  <si>
    <t>03h 47m 00s</t>
  </si>
  <si>
    <t>24° 07' 00"</t>
  </si>
  <si>
    <t>110'</t>
  </si>
  <si>
    <t>Tau</t>
  </si>
  <si>
    <t>Pleiades, Seven Sisters</t>
  </si>
  <si>
    <t>NGC 1023</t>
  </si>
  <si>
    <t>02h 40m 27s</t>
  </si>
  <si>
    <t>39° 03' 47"</t>
  </si>
  <si>
    <t>9.4</t>
  </si>
  <si>
    <t>9.0'x4.0'</t>
  </si>
  <si>
    <t>M34</t>
  </si>
  <si>
    <t>02h 42m 00s</t>
  </si>
  <si>
    <t>42° 47' 00"</t>
  </si>
  <si>
    <t>NGC 891</t>
  </si>
  <si>
    <t>02h 22m 36s</t>
  </si>
  <si>
    <t>42° 20' 50"</t>
  </si>
  <si>
    <t>9.9</t>
  </si>
  <si>
    <t>14.0'x3.0'</t>
  </si>
  <si>
    <t>Melotte 20</t>
  </si>
  <si>
    <t>03h 22m 03s</t>
  </si>
  <si>
    <t>48° 59' 56"</t>
  </si>
  <si>
    <t>1.2</t>
  </si>
  <si>
    <t>185.0'</t>
  </si>
  <si>
    <t>Alpha Persei Association</t>
  </si>
  <si>
    <t>NGC 869</t>
  </si>
  <si>
    <t>02h 19m 03s</t>
  </si>
  <si>
    <t>57° 08' 58"</t>
  </si>
  <si>
    <t>5.3</t>
  </si>
  <si>
    <t>30.0'</t>
  </si>
  <si>
    <t>Double Cluster</t>
  </si>
  <si>
    <t>NGC 884</t>
  </si>
  <si>
    <t>02h 22m 27s</t>
  </si>
  <si>
    <t>57° 06' 57"</t>
  </si>
  <si>
    <t>6.1</t>
  </si>
  <si>
    <t>Stock 2</t>
  </si>
  <si>
    <t>02h 15m 04s</t>
  </si>
  <si>
    <t>59° 15' 58"</t>
  </si>
  <si>
    <t>4.4</t>
  </si>
  <si>
    <t>60.0'</t>
  </si>
  <si>
    <t>Muscleman Cluster</t>
  </si>
  <si>
    <t>Kemble's Cascade</t>
  </si>
  <si>
    <t>03h 57m 30s</t>
  </si>
  <si>
    <t>63° 04' 13"</t>
  </si>
  <si>
    <t>Asterism</t>
  </si>
  <si>
    <t>Cam</t>
  </si>
  <si>
    <t>NGC 2070</t>
  </si>
  <si>
    <t>05h 38m 39s</t>
  </si>
  <si>
    <t>-69° 04' 51"</t>
  </si>
  <si>
    <t>8.3</t>
  </si>
  <si>
    <t>Bright Nebula</t>
  </si>
  <si>
    <t>Dor</t>
  </si>
  <si>
    <t>Tarantula Nebula</t>
  </si>
  <si>
    <t>M79</t>
  </si>
  <si>
    <t>05h 24m 30s</t>
  </si>
  <si>
    <t>-24° 33' 00"</t>
  </si>
  <si>
    <t>8.7'</t>
  </si>
  <si>
    <t>Lep</t>
  </si>
  <si>
    <t>-</t>
  </si>
  <si>
    <t>IC 418</t>
  </si>
  <si>
    <t>05h 27m 30s</t>
  </si>
  <si>
    <t>-12° 41' 32"</t>
  </si>
  <si>
    <t>14.0'x11.0'</t>
  </si>
  <si>
    <t>NGC 1535</t>
  </si>
  <si>
    <t>04h 14m 16s</t>
  </si>
  <si>
    <t>-12° 44' 16"</t>
  </si>
  <si>
    <t>10.4</t>
  </si>
  <si>
    <t>20.0'x17.0'</t>
  </si>
  <si>
    <t>Eri</t>
  </si>
  <si>
    <t>Multiple shells</t>
  </si>
  <si>
    <t>M42</t>
  </si>
  <si>
    <t>05h 35m 24s</t>
  </si>
  <si>
    <t>-05° 27' 00"</t>
  </si>
  <si>
    <t>85'x60'</t>
  </si>
  <si>
    <t>Emission Nebula</t>
  </si>
  <si>
    <t>Ori</t>
  </si>
  <si>
    <t>Orion Nebula / Trapezium</t>
  </si>
  <si>
    <t>M43</t>
  </si>
  <si>
    <t>05h 35m 36s</t>
  </si>
  <si>
    <t>-05° 16' 00"</t>
  </si>
  <si>
    <t>20'x15'</t>
  </si>
  <si>
    <t>part of Orion Nebula</t>
  </si>
  <si>
    <t>NGC 1973</t>
  </si>
  <si>
    <t>05h 35m 09s</t>
  </si>
  <si>
    <t>-04° 43' 56"</t>
  </si>
  <si>
    <t>5.0'x5.0'</t>
  </si>
  <si>
    <t>Part of Running Man Nebula</t>
  </si>
  <si>
    <t>NGC 1975</t>
  </si>
  <si>
    <t>05h 35m 21s</t>
  </si>
  <si>
    <t>-04° 40' 56"</t>
  </si>
  <si>
    <t>10.0'x5.0'</t>
  </si>
  <si>
    <t>NGC 1977</t>
  </si>
  <si>
    <t>05h 35m 27s</t>
  </si>
  <si>
    <t>-04° 49' 56"</t>
  </si>
  <si>
    <t>20.0'x10.0'</t>
  </si>
  <si>
    <t>IC 434 / B33</t>
  </si>
  <si>
    <t>05h 41m 00s</t>
  </si>
  <si>
    <t>-02° 24' 00"</t>
  </si>
  <si>
    <t>60'x10'</t>
  </si>
  <si>
    <t>Diffuse Nebula</t>
  </si>
  <si>
    <t>Horsehead (NGC 2023/4 also)</t>
  </si>
  <si>
    <t>M78</t>
  </si>
  <si>
    <t>05h 46m 42s</t>
  </si>
  <si>
    <t>00° 03' 00"</t>
  </si>
  <si>
    <t>Reflection Nebula</t>
  </si>
  <si>
    <t>Barnard's Loop</t>
  </si>
  <si>
    <t>05h 55m 00s</t>
  </si>
  <si>
    <t>02° 00' 00"</t>
  </si>
  <si>
    <t>12°</t>
  </si>
  <si>
    <t>Nebula</t>
  </si>
  <si>
    <t>Faint Nebula</t>
  </si>
  <si>
    <t>Melotte 25</t>
  </si>
  <si>
    <t>04h 27m 02s</t>
  </si>
  <si>
    <t>16° 00' 03"</t>
  </si>
  <si>
    <t>0.5</t>
  </si>
  <si>
    <t>330.0'</t>
  </si>
  <si>
    <t>Hyades</t>
  </si>
  <si>
    <t>M1</t>
  </si>
  <si>
    <t>05h 34m 30s</t>
  </si>
  <si>
    <t>22° 01' 00"</t>
  </si>
  <si>
    <t>6'x4'</t>
  </si>
  <si>
    <t>Supernova Rem.</t>
  </si>
  <si>
    <t>Crab Nebula</t>
  </si>
  <si>
    <t>NGC 1514</t>
  </si>
  <si>
    <t>04h 09m 12s</t>
  </si>
  <si>
    <t>30° 47' 00"</t>
  </si>
  <si>
    <t>2'</t>
  </si>
  <si>
    <t>M37</t>
  </si>
  <si>
    <t>05h 52m 24s</t>
  </si>
  <si>
    <t>32° 33' 00"</t>
  </si>
  <si>
    <t>24'</t>
  </si>
  <si>
    <t>Aur</t>
  </si>
  <si>
    <t>M36</t>
  </si>
  <si>
    <t>05h 36m 06s</t>
  </si>
  <si>
    <t>34° 08' 00"</t>
  </si>
  <si>
    <t>12'</t>
  </si>
  <si>
    <t>M38</t>
  </si>
  <si>
    <t>05h 28m 42s</t>
  </si>
  <si>
    <t>35° 50' 00"</t>
  </si>
  <si>
    <t>NGC 1907</t>
  </si>
  <si>
    <t>05h 28m 00s</t>
  </si>
  <si>
    <t>35° 18' 53"</t>
  </si>
  <si>
    <t>8.2</t>
  </si>
  <si>
    <t>7.0'</t>
  </si>
  <si>
    <t>NGC 1528</t>
  </si>
  <si>
    <t>04h 15m 24s</t>
  </si>
  <si>
    <t>51° 13' 49"</t>
  </si>
  <si>
    <t>24.0'</t>
  </si>
  <si>
    <t>NGC 1502</t>
  </si>
  <si>
    <t>04h 07m 45s</t>
  </si>
  <si>
    <t>62° 19' 49"</t>
  </si>
  <si>
    <t>6.9</t>
  </si>
  <si>
    <t>8.0'</t>
  </si>
  <si>
    <t>NGC 2477</t>
  </si>
  <si>
    <t>07h 52m 18s</t>
  </si>
  <si>
    <t>-38° 33' 00"</t>
  </si>
  <si>
    <t>27'</t>
  </si>
  <si>
    <t>Cnc</t>
  </si>
  <si>
    <t>NGC 2467</t>
  </si>
  <si>
    <t>07h 52m 30s</t>
  </si>
  <si>
    <t>-26° 22' 52"</t>
  </si>
  <si>
    <t>15.0'</t>
  </si>
  <si>
    <t>Pup</t>
  </si>
  <si>
    <t>NGC 2362</t>
  </si>
  <si>
    <t>07h 18m 48s</t>
  </si>
  <si>
    <t>-24° 56' 51"</t>
  </si>
  <si>
    <t>4.1</t>
  </si>
  <si>
    <t>CMa</t>
  </si>
  <si>
    <t>M93</t>
  </si>
  <si>
    <t>07h 44m 36s</t>
  </si>
  <si>
    <t>-23° 52' 00"</t>
  </si>
  <si>
    <t>22'</t>
  </si>
  <si>
    <t>M41</t>
  </si>
  <si>
    <t>06h 47m 00s</t>
  </si>
  <si>
    <t>-20° 44' 00"</t>
  </si>
  <si>
    <t>38'</t>
  </si>
  <si>
    <t>NGC 2360</t>
  </si>
  <si>
    <t>07h 17m 48s</t>
  </si>
  <si>
    <t>-15° 36' 53"</t>
  </si>
  <si>
    <t>M46</t>
  </si>
  <si>
    <t>07h 41m 48s</t>
  </si>
  <si>
    <t>-14° 49' 00"</t>
  </si>
  <si>
    <t>M47</t>
  </si>
  <si>
    <t>07h 36m 36s</t>
  </si>
  <si>
    <t>-14° 30' 00"</t>
  </si>
  <si>
    <t>30'</t>
  </si>
  <si>
    <t>NGC 2438</t>
  </si>
  <si>
    <t>07h 41m 51s</t>
  </si>
  <si>
    <t>-14° 44' 06"</t>
  </si>
  <si>
    <t>11</t>
  </si>
  <si>
    <t>1.1'</t>
  </si>
  <si>
    <t>NGC 2359</t>
  </si>
  <si>
    <t>-13° 12' 54"</t>
  </si>
  <si>
    <t>Thor's Helmet or Duck Nebula</t>
  </si>
  <si>
    <t>M50</t>
  </si>
  <si>
    <t>07h 03m 12s</t>
  </si>
  <si>
    <t>-08° 20' 00"</t>
  </si>
  <si>
    <t>16'</t>
  </si>
  <si>
    <t>Mon</t>
  </si>
  <si>
    <t>NGC 2232</t>
  </si>
  <si>
    <t>06h 26m 37s</t>
  </si>
  <si>
    <t>-04° 44' 54"</t>
  </si>
  <si>
    <t>3.9</t>
  </si>
  <si>
    <t>NGC 2301</t>
  </si>
  <si>
    <t>06h 51m 49s</t>
  </si>
  <si>
    <t>00° 28' 04"</t>
  </si>
  <si>
    <t>6</t>
  </si>
  <si>
    <t>NGC 2237</t>
  </si>
  <si>
    <t>06h 32m 19s</t>
  </si>
  <si>
    <t>04° 59' 03"</t>
  </si>
  <si>
    <t>5.5</t>
  </si>
  <si>
    <t>70.0'x80.0'</t>
  </si>
  <si>
    <t>Rosette Nebula</t>
  </si>
  <si>
    <t>NGC 2244</t>
  </si>
  <si>
    <t>06h 32m 25s</t>
  </si>
  <si>
    <t>04° 52' 03"</t>
  </si>
  <si>
    <t>4.8</t>
  </si>
  <si>
    <t>NGC 2261</t>
  </si>
  <si>
    <t>06h 39m 13s</t>
  </si>
  <si>
    <t>08° 44' 01"</t>
  </si>
  <si>
    <t>2.0'x1.0'</t>
  </si>
  <si>
    <t>Hubble's Variable Nebula</t>
  </si>
  <si>
    <t>NGC 2264</t>
  </si>
  <si>
    <t>06h 40m 58s</t>
  </si>
  <si>
    <t>09° 53' 42"</t>
  </si>
  <si>
    <t>30.0'x60.0'</t>
  </si>
  <si>
    <t>Christmas Tree / Cone Nebula</t>
  </si>
  <si>
    <t>NGC 2194</t>
  </si>
  <si>
    <t>06h 13m 48s</t>
  </si>
  <si>
    <t>12° 48' 00"</t>
  </si>
  <si>
    <t>NGC 2169</t>
  </si>
  <si>
    <t>06h 08m 27s</t>
  </si>
  <si>
    <t>13° 56' 59"</t>
  </si>
  <si>
    <t>5.9</t>
  </si>
  <si>
    <t>37 Cluster</t>
  </si>
  <si>
    <t>NGC 2174</t>
  </si>
  <si>
    <t>06h 10m 01s</t>
  </si>
  <si>
    <t>20° 33' 58"</t>
  </si>
  <si>
    <t>5</t>
  </si>
  <si>
    <t>25.0'x20.0'</t>
  </si>
  <si>
    <t>Gem</t>
  </si>
  <si>
    <t>NGC 2392</t>
  </si>
  <si>
    <t>07h 29m 10s</t>
  </si>
  <si>
    <t>20° 54' 42"</t>
  </si>
  <si>
    <t>8.6</t>
  </si>
  <si>
    <t>47"x43"</t>
  </si>
  <si>
    <t>Eskimo Nebula or Clown Face</t>
  </si>
  <si>
    <t>M35</t>
  </si>
  <si>
    <t>06h 08m 54s</t>
  </si>
  <si>
    <t>24° 20' 00"</t>
  </si>
  <si>
    <t>28'</t>
  </si>
  <si>
    <t>NGC 2158</t>
  </si>
  <si>
    <t>06h 07m 33s</t>
  </si>
  <si>
    <t>24° 05' 56"</t>
  </si>
  <si>
    <t>NGC 2266</t>
  </si>
  <si>
    <t>06h 43m 18s</t>
  </si>
  <si>
    <t>26° 58' 00"</t>
  </si>
  <si>
    <t>6'</t>
  </si>
  <si>
    <t>Striking Colors</t>
  </si>
  <si>
    <t>NGC 2403</t>
  </si>
  <si>
    <t>07h 36m 55s</t>
  </si>
  <si>
    <t>65° 35' 42"</t>
  </si>
  <si>
    <t>8.5</t>
  </si>
  <si>
    <t>17.8'</t>
  </si>
  <si>
    <t>NGC 2539</t>
  </si>
  <si>
    <t>08h 10m 42s</t>
  </si>
  <si>
    <t>-12° 50' 00"</t>
  </si>
  <si>
    <t>M48</t>
  </si>
  <si>
    <t>08h 13m 48s</t>
  </si>
  <si>
    <t>-05° 48' 00"</t>
  </si>
  <si>
    <t>54'</t>
  </si>
  <si>
    <t>Hya</t>
  </si>
  <si>
    <t>M67</t>
  </si>
  <si>
    <t>08h 50m 24s</t>
  </si>
  <si>
    <t>11° 49' 00"</t>
  </si>
  <si>
    <t>M44</t>
  </si>
  <si>
    <t>08h 40m 06s</t>
  </si>
  <si>
    <t>19° 59' 00"</t>
  </si>
  <si>
    <t>95'</t>
  </si>
  <si>
    <t>Praesepe, Beehive Cluster</t>
  </si>
  <si>
    <t>NGC 2903</t>
  </si>
  <si>
    <t>09h 32m 10s</t>
  </si>
  <si>
    <t>21° 29' 58"</t>
  </si>
  <si>
    <t>9</t>
  </si>
  <si>
    <t>13.3'x6.0'</t>
  </si>
  <si>
    <t>Leo</t>
  </si>
  <si>
    <t>SAO 61146</t>
  </si>
  <si>
    <t>08h 57m  07s</t>
  </si>
  <si>
    <t>32° 53' 56"</t>
  </si>
  <si>
    <t>N/A</t>
  </si>
  <si>
    <t>Star</t>
  </si>
  <si>
    <t>Sigma 2 (59) "Rooney"</t>
  </si>
  <si>
    <t>NGC 2841</t>
  </si>
  <si>
    <t>09h 22m 01s</t>
  </si>
  <si>
    <t>50° 58' 21"</t>
  </si>
  <si>
    <t>9.2</t>
  </si>
  <si>
    <t>7.4'x3.5'</t>
  </si>
  <si>
    <t>UMa</t>
  </si>
  <si>
    <t>M81</t>
  </si>
  <si>
    <t>09h 55m 36s</t>
  </si>
  <si>
    <t>69° 04' 00"</t>
  </si>
  <si>
    <t>21'x10'</t>
  </si>
  <si>
    <t>Bode's Galaxy</t>
  </si>
  <si>
    <t>M82</t>
  </si>
  <si>
    <t>09h 55m 48s</t>
  </si>
  <si>
    <t>69° 41' 00"</t>
  </si>
  <si>
    <t>9'x4'</t>
  </si>
  <si>
    <t>NGC 3766</t>
  </si>
  <si>
    <t>11h 36m 05s</t>
  </si>
  <si>
    <t>-61° 37' 04"</t>
  </si>
  <si>
    <t>Cen</t>
  </si>
  <si>
    <t>NGC 3372</t>
  </si>
  <si>
    <t>10h 43m 47s</t>
  </si>
  <si>
    <t>-59° 52' 01"</t>
  </si>
  <si>
    <t>13</t>
  </si>
  <si>
    <t>120.0'x120.0'</t>
  </si>
  <si>
    <t>Ant</t>
  </si>
  <si>
    <t>Eta Carina Nebula</t>
  </si>
  <si>
    <t>NGC 3532</t>
  </si>
  <si>
    <t>11h 06m 23s</t>
  </si>
  <si>
    <t>-58° 40' 03"</t>
  </si>
  <si>
    <t>3</t>
  </si>
  <si>
    <t>55.0'</t>
  </si>
  <si>
    <t>Car</t>
  </si>
  <si>
    <t>NGC 3132</t>
  </si>
  <si>
    <t>10h 07m 42s</t>
  </si>
  <si>
    <t>-40° 26' 00"</t>
  </si>
  <si>
    <t>8.2p</t>
  </si>
  <si>
    <t>84"x53"</t>
  </si>
  <si>
    <t>Vel</t>
  </si>
  <si>
    <t>Eight-Burst Nebula</t>
  </si>
  <si>
    <t>NGC 3242</t>
  </si>
  <si>
    <t>10h 24m 48s</t>
  </si>
  <si>
    <t>-18° 38' 14"</t>
  </si>
  <si>
    <t>40.0"x35.0"</t>
  </si>
  <si>
    <t>Ghost of Jupiter</t>
  </si>
  <si>
    <t>NGC 3115</t>
  </si>
  <si>
    <t>10h 05m 14s</t>
  </si>
  <si>
    <t>-07° 43' 06"</t>
  </si>
  <si>
    <t>8.9</t>
  </si>
  <si>
    <t>8.3'x3.2'</t>
  </si>
  <si>
    <t>Sex</t>
  </si>
  <si>
    <t>Spindle Gal</t>
  </si>
  <si>
    <t>M95</t>
  </si>
  <si>
    <t>10h 44m 00s</t>
  </si>
  <si>
    <t>11° 42' 00"</t>
  </si>
  <si>
    <t>4.4'x3.3'</t>
  </si>
  <si>
    <t>M96</t>
  </si>
  <si>
    <t>10h 46m 48s</t>
  </si>
  <si>
    <t>M66</t>
  </si>
  <si>
    <t>11h 20m 12s</t>
  </si>
  <si>
    <t>12° 59' 00"</t>
  </si>
  <si>
    <t>8'x2.5'</t>
  </si>
  <si>
    <t>M105</t>
  </si>
  <si>
    <t>10h 47m 48s</t>
  </si>
  <si>
    <t>12° 35' 00"</t>
  </si>
  <si>
    <t>M65</t>
  </si>
  <si>
    <t>11h 18m 54s</t>
  </si>
  <si>
    <t>13° 05' 00"</t>
  </si>
  <si>
    <t>8'x1.5'</t>
  </si>
  <si>
    <t>NGC 3628</t>
  </si>
  <si>
    <t>11h 20m 18s</t>
  </si>
  <si>
    <t>13° 37' 00"</t>
  </si>
  <si>
    <t>14.8'</t>
  </si>
  <si>
    <t>NGC 3877</t>
  </si>
  <si>
    <t>11h 46m 07s</t>
  </si>
  <si>
    <t>47° 29' 37"</t>
  </si>
  <si>
    <t>5.6'x1.2'</t>
  </si>
  <si>
    <t>M109</t>
  </si>
  <si>
    <t>11h 57m 36s</t>
  </si>
  <si>
    <t>53° 23' 00"</t>
  </si>
  <si>
    <t>7'x4'</t>
  </si>
  <si>
    <t>M97</t>
  </si>
  <si>
    <t>11h 14m 48s</t>
  </si>
  <si>
    <t>55° 01' 00"</t>
  </si>
  <si>
    <t>3.4'x3.3'</t>
  </si>
  <si>
    <t>Owl Nebula</t>
  </si>
  <si>
    <t>M108</t>
  </si>
  <si>
    <t>11h 11m 30s</t>
  </si>
  <si>
    <t>55° 40' 00"</t>
  </si>
  <si>
    <t>8'x1'</t>
  </si>
  <si>
    <t>NGC 4755</t>
  </si>
  <si>
    <t>12h 53m 35s</t>
  </si>
  <si>
    <t>-60° 20' 08"</t>
  </si>
  <si>
    <t>4.2</t>
  </si>
  <si>
    <t>10.0'</t>
  </si>
  <si>
    <t>Cru</t>
  </si>
  <si>
    <t>Jewel Box / Kappa Crucis</t>
  </si>
  <si>
    <t>NGC 5139</t>
  </si>
  <si>
    <t>13h 26m 46s</t>
  </si>
  <si>
    <t>-47° 28' 45"</t>
  </si>
  <si>
    <t>3.7</t>
  </si>
  <si>
    <t>36.3'</t>
  </si>
  <si>
    <t>Omega Centauri</t>
  </si>
  <si>
    <t>NGC 5128</t>
  </si>
  <si>
    <t>13h 25m 29s</t>
  </si>
  <si>
    <t>-43° 01' 07"</t>
  </si>
  <si>
    <t>18.2'x14.5'</t>
  </si>
  <si>
    <t>Centaurus A</t>
  </si>
  <si>
    <t>M83</t>
  </si>
  <si>
    <t>13h 37m 00s</t>
  </si>
  <si>
    <t>-29° 52' 00"</t>
  </si>
  <si>
    <t>11'x10'</t>
  </si>
  <si>
    <t>M68</t>
  </si>
  <si>
    <t>12h 39m 30s</t>
  </si>
  <si>
    <t>-26° 45' 00"</t>
  </si>
  <si>
    <t>NGC 4038</t>
  </si>
  <si>
    <t>12h 01m 53s</t>
  </si>
  <si>
    <t>-18° 51' 55"</t>
  </si>
  <si>
    <t>10.3</t>
  </si>
  <si>
    <t>2.6'x1.8'</t>
  </si>
  <si>
    <t>Cor</t>
  </si>
  <si>
    <t>Antennae / Ringtail Galaxy</t>
  </si>
  <si>
    <t>NGC 4039</t>
  </si>
  <si>
    <t>12h 01m 54s</t>
  </si>
  <si>
    <t>-18° 53' 07"</t>
  </si>
  <si>
    <t>10.6</t>
  </si>
  <si>
    <t>3.2'x2.2'</t>
  </si>
  <si>
    <t>The Antennae</t>
  </si>
  <si>
    <t>NGC 4361</t>
  </si>
  <si>
    <t>12h 24m 30s</t>
  </si>
  <si>
    <t>-18° 47' 38"</t>
  </si>
  <si>
    <t>1.3'</t>
  </si>
  <si>
    <t>M104</t>
  </si>
  <si>
    <t>12h 40m 00s</t>
  </si>
  <si>
    <t>-11° 37' 00"</t>
  </si>
  <si>
    <t>Vir</t>
  </si>
  <si>
    <t>Sombrero Galaxy</t>
  </si>
  <si>
    <t>3C 273</t>
  </si>
  <si>
    <t>12h 29m 06s</t>
  </si>
  <si>
    <t>02° 03' 01"</t>
  </si>
  <si>
    <t>12</t>
  </si>
  <si>
    <t>Quasar</t>
  </si>
  <si>
    <t>M61</t>
  </si>
  <si>
    <t>12h 21m 54s</t>
  </si>
  <si>
    <t>04° 28' 00"</t>
  </si>
  <si>
    <t>6'x5.5'</t>
  </si>
  <si>
    <t>NGC 4526</t>
  </si>
  <si>
    <t>12h 34m 03s</t>
  </si>
  <si>
    <t>07° 42' 03"</t>
  </si>
  <si>
    <t>9.7</t>
  </si>
  <si>
    <t>7.0'x2.7'</t>
  </si>
  <si>
    <t>Lost Galaxy</t>
  </si>
  <si>
    <t>M49</t>
  </si>
  <si>
    <t>12h 29m 48s</t>
  </si>
  <si>
    <t>08° 00' 00"</t>
  </si>
  <si>
    <t>9'x7.5'</t>
  </si>
  <si>
    <t>M58</t>
  </si>
  <si>
    <t>12h 37m 42s</t>
  </si>
  <si>
    <t>5.5'x4.5'</t>
  </si>
  <si>
    <t>M59</t>
  </si>
  <si>
    <t>12h 42m 00s</t>
  </si>
  <si>
    <t>11° 39' 00"</t>
  </si>
  <si>
    <t>5'x3.5'</t>
  </si>
  <si>
    <t>M60</t>
  </si>
  <si>
    <t>12h 43m 42s</t>
  </si>
  <si>
    <t>11° 33' 00"</t>
  </si>
  <si>
    <t xml:space="preserve">Vir </t>
  </si>
  <si>
    <t>NGC 4567</t>
  </si>
  <si>
    <t>12h 36m 33s</t>
  </si>
  <si>
    <t>11° 15' 33"</t>
  </si>
  <si>
    <t>11.3</t>
  </si>
  <si>
    <t>3.0'x2.5'</t>
  </si>
  <si>
    <t>Siamese Twins</t>
  </si>
  <si>
    <t>NGC 4568</t>
  </si>
  <si>
    <t>12h 36m 35s</t>
  </si>
  <si>
    <t>11° 14' 17"</t>
  </si>
  <si>
    <t>10.8</t>
  </si>
  <si>
    <t>5.1'x2.4'</t>
  </si>
  <si>
    <t>M84</t>
  </si>
  <si>
    <t>12h 25m 06s</t>
  </si>
  <si>
    <t>12° 53' 00"</t>
  </si>
  <si>
    <t>5'</t>
  </si>
  <si>
    <t>M86</t>
  </si>
  <si>
    <t>12h 26m 12s</t>
  </si>
  <si>
    <t>12° 57' 00"</t>
  </si>
  <si>
    <t>7.5'x5.5'</t>
  </si>
  <si>
    <t>M87</t>
  </si>
  <si>
    <t>12h 30m 48s</t>
  </si>
  <si>
    <t>12° 24' 00"</t>
  </si>
  <si>
    <t>7'</t>
  </si>
  <si>
    <t>Virgo A</t>
  </si>
  <si>
    <t>M89</t>
  </si>
  <si>
    <t>12h 35m 42s</t>
  </si>
  <si>
    <t>12° 33' 00"</t>
  </si>
  <si>
    <t>Markarian's Chain</t>
  </si>
  <si>
    <t>12h 25m 04s</t>
  </si>
  <si>
    <t>12° 53' 16"</t>
  </si>
  <si>
    <t>Galactic Chain</t>
  </si>
  <si>
    <t>M90</t>
  </si>
  <si>
    <t>12h 36m 48s</t>
  </si>
  <si>
    <t>13° 10' 00"</t>
  </si>
  <si>
    <t>9.5'x4.5'</t>
  </si>
  <si>
    <t>M88</t>
  </si>
  <si>
    <t>12h 32m 00s</t>
  </si>
  <si>
    <t>14° 25' 00"</t>
  </si>
  <si>
    <t>7 'x 4'</t>
  </si>
  <si>
    <t>Com</t>
  </si>
  <si>
    <t>M91</t>
  </si>
  <si>
    <t>12h 35m 24s</t>
  </si>
  <si>
    <t>14° 30' 00"</t>
  </si>
  <si>
    <t>5.4'x4.4'</t>
  </si>
  <si>
    <t>M98</t>
  </si>
  <si>
    <t>12h 13m 48s</t>
  </si>
  <si>
    <t>14° 54' 00"</t>
  </si>
  <si>
    <t>9.5 'x 3.2'</t>
  </si>
  <si>
    <t>M99</t>
  </si>
  <si>
    <t>12h 18m 48s</t>
  </si>
  <si>
    <t>5.4 'x 4.8'</t>
  </si>
  <si>
    <t>M100</t>
  </si>
  <si>
    <t>12h 22m 54s</t>
  </si>
  <si>
    <t>15° 49' 00"</t>
  </si>
  <si>
    <t>M53</t>
  </si>
  <si>
    <t>13h 12m 54s</t>
  </si>
  <si>
    <t>18° 10' 00"</t>
  </si>
  <si>
    <t>12.6'</t>
  </si>
  <si>
    <t>M85</t>
  </si>
  <si>
    <t>12h 25m 24s</t>
  </si>
  <si>
    <t>18° 11' 00"</t>
  </si>
  <si>
    <t>7.1'x5.2'</t>
  </si>
  <si>
    <t>M64</t>
  </si>
  <si>
    <t>12h 56m 42s</t>
  </si>
  <si>
    <t>21° 41' 00"</t>
  </si>
  <si>
    <t>9.3'x5.4'</t>
  </si>
  <si>
    <t>Blackeye Galaxy</t>
  </si>
  <si>
    <t>NGC 4565</t>
  </si>
  <si>
    <t>12h 36m 20s</t>
  </si>
  <si>
    <t>25° 59' 23"</t>
  </si>
  <si>
    <t>9.6</t>
  </si>
  <si>
    <t>15.5'x1.9'</t>
  </si>
  <si>
    <t>Bernice's Hair Clip</t>
  </si>
  <si>
    <t>Melotte 111</t>
  </si>
  <si>
    <t>12h 25m 00s</t>
  </si>
  <si>
    <t>26° 00' 07"</t>
  </si>
  <si>
    <t>1.8</t>
  </si>
  <si>
    <t>275.0'</t>
  </si>
  <si>
    <t>Coma Berenices Star Cluster</t>
  </si>
  <si>
    <t>Abell 1656</t>
  </si>
  <si>
    <t>12h 59m 48s</t>
  </si>
  <si>
    <t>27° 59' 04"</t>
  </si>
  <si>
    <t>120.0'</t>
  </si>
  <si>
    <t>Coma Gal Cluster</t>
  </si>
  <si>
    <t>M3</t>
  </si>
  <si>
    <t>13h 42m 12s</t>
  </si>
  <si>
    <t>28° 23' 00"</t>
  </si>
  <si>
    <t>16.2'</t>
  </si>
  <si>
    <t>CVn</t>
  </si>
  <si>
    <t>NGC 4631</t>
  </si>
  <si>
    <t>12h 42m 11s</t>
  </si>
  <si>
    <t>32° 32' 42"</t>
  </si>
  <si>
    <t>17.0'x3.5'</t>
  </si>
  <si>
    <t>NGC 4656</t>
  </si>
  <si>
    <t>12h 43m 58s</t>
  </si>
  <si>
    <t>32° 10' 21"</t>
  </si>
  <si>
    <t>10.5</t>
  </si>
  <si>
    <t>22.0'x3.0'</t>
  </si>
  <si>
    <t>NGC 4244</t>
  </si>
  <si>
    <t>12h 17m 29s</t>
  </si>
  <si>
    <t>37° 48' 28"</t>
  </si>
  <si>
    <t>18.5'x2.3'</t>
  </si>
  <si>
    <t>M94</t>
  </si>
  <si>
    <t>12h 50m 54s</t>
  </si>
  <si>
    <t>41° 07' 00"</t>
  </si>
  <si>
    <t>7'x3'</t>
  </si>
  <si>
    <t>M63</t>
  </si>
  <si>
    <t>13h 15m 48s</t>
  </si>
  <si>
    <t>42° 02' 00"</t>
  </si>
  <si>
    <t>10'x6'</t>
  </si>
  <si>
    <t>Sunflower Galaxy</t>
  </si>
  <si>
    <t>Y Canum Venat.</t>
  </si>
  <si>
    <t>12h 45m 06s</t>
  </si>
  <si>
    <t>45° 26' 00"</t>
  </si>
  <si>
    <t>5.0 to 6.5</t>
  </si>
  <si>
    <t>Variable Star</t>
  </si>
  <si>
    <t>La Superba (Red)</t>
  </si>
  <si>
    <t>M51</t>
  </si>
  <si>
    <t>13h 29m 54s</t>
  </si>
  <si>
    <t>47° 12' 00"</t>
  </si>
  <si>
    <t>11'x7'</t>
  </si>
  <si>
    <t>Whirlpool Galaxy</t>
  </si>
  <si>
    <t>M106</t>
  </si>
  <si>
    <t>12h 19m 00s</t>
  </si>
  <si>
    <t>47° 18' 00"</t>
  </si>
  <si>
    <t>19'x8'</t>
  </si>
  <si>
    <t>M40</t>
  </si>
  <si>
    <t>12h 22m 24s</t>
  </si>
  <si>
    <t>58° 05' 00"</t>
  </si>
  <si>
    <t>9.0, 9.3</t>
  </si>
  <si>
    <t>49"</t>
  </si>
  <si>
    <t>Double Star</t>
  </si>
  <si>
    <t>Winnecke 4 (WNC4)</t>
  </si>
  <si>
    <t>NGC 5746</t>
  </si>
  <si>
    <t>14h 44m 57s</t>
  </si>
  <si>
    <t>01° 57' 20"</t>
  </si>
  <si>
    <t>7.4'x1.1'</t>
  </si>
  <si>
    <t>M5</t>
  </si>
  <si>
    <t>15h 18m 36s</t>
  </si>
  <si>
    <t>02° 05' 00"</t>
  </si>
  <si>
    <t>17.4'</t>
  </si>
  <si>
    <t>Ser</t>
  </si>
  <si>
    <t>M101</t>
  </si>
  <si>
    <t>14h 03m 18s</t>
  </si>
  <si>
    <t>54° 21' 00"</t>
  </si>
  <si>
    <t>Pinwheel Galaxy</t>
  </si>
  <si>
    <t>M102</t>
  </si>
  <si>
    <t>15h 06m 30s</t>
  </si>
  <si>
    <t>55° 45' 00"</t>
  </si>
  <si>
    <t>5.2'x2.3'</t>
  </si>
  <si>
    <t>Dra</t>
  </si>
  <si>
    <t>Spindle Galaxy</t>
  </si>
  <si>
    <t>NGC 5907</t>
  </si>
  <si>
    <t>15h 15m 52s</t>
  </si>
  <si>
    <t>56° 19' 48"</t>
  </si>
  <si>
    <t>12.8'x1.8'</t>
  </si>
  <si>
    <t>NGC 6397</t>
  </si>
  <si>
    <t>17h 40m 43s</t>
  </si>
  <si>
    <t>-53° 40' 33"</t>
  </si>
  <si>
    <t>25.7'</t>
  </si>
  <si>
    <t>Ara</t>
  </si>
  <si>
    <t>NGC 6388</t>
  </si>
  <si>
    <t>17h 36m 18s</t>
  </si>
  <si>
    <t>-44° 44' 00"</t>
  </si>
  <si>
    <t>Sco</t>
  </si>
  <si>
    <t>NGC 6231</t>
  </si>
  <si>
    <t>16h 54m 01s</t>
  </si>
  <si>
    <t>-41° 48' 06"</t>
  </si>
  <si>
    <t>2.6</t>
  </si>
  <si>
    <t>Table of Scorpius</t>
  </si>
  <si>
    <t>NGC 6281</t>
  </si>
  <si>
    <t>17h 04m 48s</t>
  </si>
  <si>
    <t>-37° 54' 00"</t>
  </si>
  <si>
    <t>8'</t>
  </si>
  <si>
    <t>M7</t>
  </si>
  <si>
    <t>17h 53m 54s</t>
  </si>
  <si>
    <t>-34° 49' 00"</t>
  </si>
  <si>
    <t>80'</t>
  </si>
  <si>
    <t>Ptolemy's Cluster</t>
  </si>
  <si>
    <t>M6</t>
  </si>
  <si>
    <t>17h 40m 06s</t>
  </si>
  <si>
    <t>-32° 13' 00"</t>
  </si>
  <si>
    <t>15'</t>
  </si>
  <si>
    <t>Butterfly Cluster</t>
  </si>
  <si>
    <t>M62</t>
  </si>
  <si>
    <t>17h 01m 12s</t>
  </si>
  <si>
    <t>-30° 07' 00"</t>
  </si>
  <si>
    <t>14.1'</t>
  </si>
  <si>
    <t>Oph</t>
  </si>
  <si>
    <t>Milky Way Center</t>
  </si>
  <si>
    <t>17h 46m 00s</t>
  </si>
  <si>
    <t>-29° 00' 00"</t>
  </si>
  <si>
    <t>20°</t>
  </si>
  <si>
    <t>Dense Milky Way</t>
  </si>
  <si>
    <t>Sgr</t>
  </si>
  <si>
    <t>Galactic Center</t>
  </si>
  <si>
    <t>M4</t>
  </si>
  <si>
    <t>16h 23m 36s</t>
  </si>
  <si>
    <t>-26° 32' 00"</t>
  </si>
  <si>
    <t>26.3'</t>
  </si>
  <si>
    <t>M19</t>
  </si>
  <si>
    <t>17h 02m 36s</t>
  </si>
  <si>
    <t>-26° 16' 00"</t>
  </si>
  <si>
    <t>13.5'</t>
  </si>
  <si>
    <t>B 59</t>
  </si>
  <si>
    <t>17h 21m 02s</t>
  </si>
  <si>
    <t>-26° 59' 58"</t>
  </si>
  <si>
    <t>300.0'</t>
  </si>
  <si>
    <t>Dark Nebula</t>
  </si>
  <si>
    <t>Pipe Nebula (stem)</t>
  </si>
  <si>
    <t>B 78</t>
  </si>
  <si>
    <t>17h 33m 02s</t>
  </si>
  <si>
    <t>-25° 59' 58"</t>
  </si>
  <si>
    <t>200.0'</t>
  </si>
  <si>
    <t>Pipe Nebula (bowl)</t>
  </si>
  <si>
    <t>NGC 6369</t>
  </si>
  <si>
    <t>17h 29m 22s</t>
  </si>
  <si>
    <t>-23° 45' 37"</t>
  </si>
  <si>
    <t>30"</t>
  </si>
  <si>
    <t>M80</t>
  </si>
  <si>
    <t>16h 17m 00s</t>
  </si>
  <si>
    <t>-22° 59' 00"</t>
  </si>
  <si>
    <t>8.9'</t>
  </si>
  <si>
    <t>M23</t>
  </si>
  <si>
    <t>17h 56m 48s</t>
  </si>
  <si>
    <t>-19° 01' 00"</t>
  </si>
  <si>
    <t>M9</t>
  </si>
  <si>
    <t>17h 19m 12s</t>
  </si>
  <si>
    <t>-18° 31' 00"</t>
  </si>
  <si>
    <t>9.3'</t>
  </si>
  <si>
    <t>M107</t>
  </si>
  <si>
    <t>16h 32m 30s</t>
  </si>
  <si>
    <t>-13° 03' 00"</t>
  </si>
  <si>
    <t>M10</t>
  </si>
  <si>
    <t>16h 57m 06s</t>
  </si>
  <si>
    <t>-04° 06' 00"</t>
  </si>
  <si>
    <t>15.1'</t>
  </si>
  <si>
    <t>M14</t>
  </si>
  <si>
    <t>17h 37m 36s</t>
  </si>
  <si>
    <t>-03° 15' 00"</t>
  </si>
  <si>
    <t>11.7'</t>
  </si>
  <si>
    <t>M12</t>
  </si>
  <si>
    <t>16h 47m 12s</t>
  </si>
  <si>
    <t>-01° 57' 00"</t>
  </si>
  <si>
    <t>14.5'</t>
  </si>
  <si>
    <t>IC 4665</t>
  </si>
  <si>
    <t>17h 46m 20s</t>
  </si>
  <si>
    <t>05° 43' 08"</t>
  </si>
  <si>
    <t>41.0'</t>
  </si>
  <si>
    <t>NGC 6210</t>
  </si>
  <si>
    <t>16h 44m 30s</t>
  </si>
  <si>
    <t>23° 48' 46"</t>
  </si>
  <si>
    <t>20.0"x13.0"</t>
  </si>
  <si>
    <t>Her</t>
  </si>
  <si>
    <t>M13</t>
  </si>
  <si>
    <t>16h 41m 42s</t>
  </si>
  <si>
    <t>36° 28' 00"</t>
  </si>
  <si>
    <t>16.6'</t>
  </si>
  <si>
    <t>Hercules Cluster</t>
  </si>
  <si>
    <t>M92</t>
  </si>
  <si>
    <t>17h 17m 06s</t>
  </si>
  <si>
    <t>43° 08' 00"</t>
  </si>
  <si>
    <t>11.2'</t>
  </si>
  <si>
    <t>NGC 6543</t>
  </si>
  <si>
    <t>17h 58m 36s</t>
  </si>
  <si>
    <t>66° 38' 17"</t>
  </si>
  <si>
    <t>22.0'x16.0'</t>
  </si>
  <si>
    <t>Cat's Eye Nebula</t>
  </si>
  <si>
    <t>NGC 6545</t>
  </si>
  <si>
    <t>18h 12m 18s</t>
  </si>
  <si>
    <t>-63° 46' 45"</t>
  </si>
  <si>
    <t>13.2</t>
  </si>
  <si>
    <t>1.0'x0.9'</t>
  </si>
  <si>
    <t>Pav</t>
  </si>
  <si>
    <t>Needle Galaxy</t>
  </si>
  <si>
    <t>M69</t>
  </si>
  <si>
    <t>18h 34m 24s</t>
  </si>
  <si>
    <t>-32° 21' 00"</t>
  </si>
  <si>
    <t>7.1'</t>
  </si>
  <si>
    <t>M70</t>
  </si>
  <si>
    <t>18h 43m 12s</t>
  </si>
  <si>
    <t>-32° 18' 00"</t>
  </si>
  <si>
    <t>7.8'</t>
  </si>
  <si>
    <t>M54</t>
  </si>
  <si>
    <t>18h 55m 06s</t>
  </si>
  <si>
    <t>-30° 29' 00"</t>
  </si>
  <si>
    <t>9.1'</t>
  </si>
  <si>
    <t>M55</t>
  </si>
  <si>
    <t>19h 40m 00s</t>
  </si>
  <si>
    <t>-30° 58' 00"</t>
  </si>
  <si>
    <t>19'</t>
  </si>
  <si>
    <t>M22</t>
  </si>
  <si>
    <t>18h 36m 24s</t>
  </si>
  <si>
    <t>-29° 54' 00"</t>
  </si>
  <si>
    <t>M8</t>
  </si>
  <si>
    <t>18h 03m 48s</t>
  </si>
  <si>
    <t>-24° 23' 00"</t>
  </si>
  <si>
    <t>60'x35'</t>
  </si>
  <si>
    <t>Lagoon Nebula</t>
  </si>
  <si>
    <t>M28</t>
  </si>
  <si>
    <t>18h 24m 30s</t>
  </si>
  <si>
    <t>-24° 52' 00"</t>
  </si>
  <si>
    <t>M20</t>
  </si>
  <si>
    <t>18h 02m 36s</t>
  </si>
  <si>
    <t>-23° 02' 00"</t>
  </si>
  <si>
    <t>Emis./Refl. Nebula</t>
  </si>
  <si>
    <t>Trifid Nebula</t>
  </si>
  <si>
    <t>M21</t>
  </si>
  <si>
    <t>18h 04m 36s</t>
  </si>
  <si>
    <t>-22° 30' 00"</t>
  </si>
  <si>
    <t>13'</t>
  </si>
  <si>
    <t>M25</t>
  </si>
  <si>
    <t>18h 31m 36s</t>
  </si>
  <si>
    <t>-19° 15' 00"</t>
  </si>
  <si>
    <t>40'</t>
  </si>
  <si>
    <t>M24</t>
  </si>
  <si>
    <t>18h 16m 54s</t>
  </si>
  <si>
    <t>-18° 29' 00"</t>
  </si>
  <si>
    <t>90'</t>
  </si>
  <si>
    <t>contains "Delle Caustiche"</t>
  </si>
  <si>
    <t>M18</t>
  </si>
  <si>
    <t>18h 19m 54s</t>
  </si>
  <si>
    <t>-17° 08' 00"</t>
  </si>
  <si>
    <t>9'</t>
  </si>
  <si>
    <t>M17</t>
  </si>
  <si>
    <t>18h 20m 48s</t>
  </si>
  <si>
    <t>-16° 11' 00"</t>
  </si>
  <si>
    <t>11'</t>
  </si>
  <si>
    <t>Omega Nebula</t>
  </si>
  <si>
    <t>M16</t>
  </si>
  <si>
    <t>18h 18m 48s</t>
  </si>
  <si>
    <t>-13° 47' 00"</t>
  </si>
  <si>
    <t>Eagle Nebula / Open Cluster</t>
  </si>
  <si>
    <t>M26</t>
  </si>
  <si>
    <t>18h 45m 12s</t>
  </si>
  <si>
    <t>-09° 24' 00"</t>
  </si>
  <si>
    <t>Sct</t>
  </si>
  <si>
    <t>NGC 6712</t>
  </si>
  <si>
    <t>18h 53m 06s</t>
  </si>
  <si>
    <t>-08° 42' 00"</t>
  </si>
  <si>
    <t>M11</t>
  </si>
  <si>
    <t>18h 51m 06s</t>
  </si>
  <si>
    <t>-06° 16' 00"</t>
  </si>
  <si>
    <t>Wild Duck Cluster</t>
  </si>
  <si>
    <t>NGC 6572</t>
  </si>
  <si>
    <t>18h 12m 09s</t>
  </si>
  <si>
    <t>06° 51' 01"</t>
  </si>
  <si>
    <t>15.0'x12.0'</t>
  </si>
  <si>
    <t>NGC 6633</t>
  </si>
  <si>
    <t>18h 27m 43s</t>
  </si>
  <si>
    <t>06° 34' 14"</t>
  </si>
  <si>
    <t>4.6</t>
  </si>
  <si>
    <t>27.0'</t>
  </si>
  <si>
    <t>NGC 6781</t>
  </si>
  <si>
    <t>19h 18m 28s</t>
  </si>
  <si>
    <t>06° 32' 46"</t>
  </si>
  <si>
    <t>11.8</t>
  </si>
  <si>
    <t>1.9'x1.8'</t>
  </si>
  <si>
    <t>Aql</t>
  </si>
  <si>
    <t>M71</t>
  </si>
  <si>
    <t>19h 53m 48s</t>
  </si>
  <si>
    <t>18° 47' 00"</t>
  </si>
  <si>
    <t>7.2'</t>
  </si>
  <si>
    <t>Sge</t>
  </si>
  <si>
    <t>Collinder 399</t>
  </si>
  <si>
    <t>19h 25m 26s</t>
  </si>
  <si>
    <t>20° 11' 18"</t>
  </si>
  <si>
    <t>3.6</t>
  </si>
  <si>
    <t>Vul</t>
  </si>
  <si>
    <t>Brocchi's Cluster / Coathanger</t>
  </si>
  <si>
    <t>Great Rift</t>
  </si>
  <si>
    <t>19h 30m 00s</t>
  </si>
  <si>
    <t>20° 00' 00"</t>
  </si>
  <si>
    <t>40°</t>
  </si>
  <si>
    <t>Dark Lane</t>
  </si>
  <si>
    <t>Galactic Rift</t>
  </si>
  <si>
    <t>M27</t>
  </si>
  <si>
    <t>19h 59m 36s</t>
  </si>
  <si>
    <t>22° 43' 00"</t>
  </si>
  <si>
    <t>8.0'x5.7'</t>
  </si>
  <si>
    <t>Dumbbell Nebula</t>
  </si>
  <si>
    <t>S223 Albireo</t>
  </si>
  <si>
    <t>19h 30m 43s</t>
  </si>
  <si>
    <t>27° 57' 35"</t>
  </si>
  <si>
    <t>3.1, 5.1</t>
  </si>
  <si>
    <t>34.4"</t>
  </si>
  <si>
    <t>Cyg</t>
  </si>
  <si>
    <t>Beta, Blue / Gold</t>
  </si>
  <si>
    <t>M56</t>
  </si>
  <si>
    <t>19h 16m 36s</t>
  </si>
  <si>
    <t>30° 11' 00"</t>
  </si>
  <si>
    <t>Lyr</t>
  </si>
  <si>
    <t>M57</t>
  </si>
  <si>
    <t>18h 53m 36s</t>
  </si>
  <si>
    <t>33° 02' 00"</t>
  </si>
  <si>
    <t>1.4'x1.0'</t>
  </si>
  <si>
    <t xml:space="preserve">Ring Nebula </t>
  </si>
  <si>
    <t>NGC 6819</t>
  </si>
  <si>
    <t>19h 41m 20s</t>
  </si>
  <si>
    <t>40° 11' 22"</t>
  </si>
  <si>
    <t>7.3</t>
  </si>
  <si>
    <t>NGC 6826</t>
  </si>
  <si>
    <t>19h 44m 53s</t>
  </si>
  <si>
    <t>50° 31' 42"</t>
  </si>
  <si>
    <t>8.8</t>
  </si>
  <si>
    <t>27.0'x24.0'</t>
  </si>
  <si>
    <t>Blinking Planetary</t>
  </si>
  <si>
    <t>M30</t>
  </si>
  <si>
    <t>21h 40m 24s</t>
  </si>
  <si>
    <t>-23° 11' 00"</t>
  </si>
  <si>
    <t>Cap</t>
  </si>
  <si>
    <t>M75</t>
  </si>
  <si>
    <t>20h 06m 06s</t>
  </si>
  <si>
    <t>-21° 55' 00"</t>
  </si>
  <si>
    <t>M72</t>
  </si>
  <si>
    <t>20h 53m 30s</t>
  </si>
  <si>
    <t>-12° 32' 00"</t>
  </si>
  <si>
    <t>5.9'</t>
  </si>
  <si>
    <t>Aqr</t>
  </si>
  <si>
    <t>M73</t>
  </si>
  <si>
    <t>20h 58m 54s</t>
  </si>
  <si>
    <t>-12° 38' 00"</t>
  </si>
  <si>
    <t>2.8'</t>
  </si>
  <si>
    <t>NGC 7009</t>
  </si>
  <si>
    <t>21h 04m 15s</t>
  </si>
  <si>
    <t>-11° 21' 49"</t>
  </si>
  <si>
    <t>28.0'x23.0'</t>
  </si>
  <si>
    <t>Saturn Nebula</t>
  </si>
  <si>
    <t>M2</t>
  </si>
  <si>
    <t>21h 33m 30s</t>
  </si>
  <si>
    <t>-00° 49' 00"</t>
  </si>
  <si>
    <t>12.9'</t>
  </si>
  <si>
    <t>M15</t>
  </si>
  <si>
    <t>21h 30m 00s</t>
  </si>
  <si>
    <t>12° 10' 00"</t>
  </si>
  <si>
    <t>12.3'</t>
  </si>
  <si>
    <t>Peg</t>
  </si>
  <si>
    <t>NGC 6885</t>
  </si>
  <si>
    <t>20h 12m 02s</t>
  </si>
  <si>
    <t>26° 29' 20"</t>
  </si>
  <si>
    <t>8.1</t>
  </si>
  <si>
    <t>NGC 6960</t>
  </si>
  <si>
    <t>20h 45m 38s</t>
  </si>
  <si>
    <t>30° 43' 20"</t>
  </si>
  <si>
    <t>70.0'x6.0'</t>
  </si>
  <si>
    <t>Supernova Remnant</t>
  </si>
  <si>
    <t>Western Veil</t>
  </si>
  <si>
    <t>NGC 6992</t>
  </si>
  <si>
    <t>20h 56m 14s</t>
  </si>
  <si>
    <t>31° 04' 20"</t>
  </si>
  <si>
    <t>Eastern Veil</t>
  </si>
  <si>
    <t>M29</t>
  </si>
  <si>
    <t>20h 23m 54s</t>
  </si>
  <si>
    <t>38° 32' 00"</t>
  </si>
  <si>
    <t>NGC 6888</t>
  </si>
  <si>
    <t>20h 12m 14s</t>
  </si>
  <si>
    <t>38° 20' 21"</t>
  </si>
  <si>
    <t>8</t>
  </si>
  <si>
    <t>Crescent Nebula</t>
  </si>
  <si>
    <t>S229 Sadr</t>
  </si>
  <si>
    <t>20h 22m 12s</t>
  </si>
  <si>
    <t>40° 16' 00"</t>
  </si>
  <si>
    <t>2.2</t>
  </si>
  <si>
    <t>Star w/ Milky Way</t>
  </si>
  <si>
    <t>Gamma Cyg</t>
  </si>
  <si>
    <t>NGC 7000</t>
  </si>
  <si>
    <t>20h 58m 32s</t>
  </si>
  <si>
    <t>44° 33' 21"</t>
  </si>
  <si>
    <t>175'x110'</t>
  </si>
  <si>
    <t>North American Nebula</t>
  </si>
  <si>
    <t>S232 Deneb</t>
  </si>
  <si>
    <t>20h 41m 30s</t>
  </si>
  <si>
    <t>45° 17' 00"</t>
  </si>
  <si>
    <t>Alpha Cyg</t>
  </si>
  <si>
    <t>M39</t>
  </si>
  <si>
    <t>21h 32m 12s</t>
  </si>
  <si>
    <t>48° 26' 00"</t>
  </si>
  <si>
    <t>32'</t>
  </si>
  <si>
    <t>IC 1396</t>
  </si>
  <si>
    <t>21h 39m 09s</t>
  </si>
  <si>
    <t>57° 46' 58"</t>
  </si>
  <si>
    <t>3.5</t>
  </si>
  <si>
    <t>154.0'x140.0'</t>
  </si>
  <si>
    <t>NGC 6939</t>
  </si>
  <si>
    <t>20h 31m 27s</t>
  </si>
  <si>
    <t>60° 38' 22"</t>
  </si>
  <si>
    <t>7.8</t>
  </si>
  <si>
    <t>NGC 6946</t>
  </si>
  <si>
    <t>20h 34m 48s</t>
  </si>
  <si>
    <t>60° 09' 00"</t>
  </si>
  <si>
    <t>11.0'x10.0'</t>
  </si>
  <si>
    <t>NGC 7184</t>
  </si>
  <si>
    <t>22h 02m 42s</t>
  </si>
  <si>
    <t>-20° 49' 00"</t>
  </si>
  <si>
    <t>5.8'</t>
  </si>
  <si>
    <t>NGC 7293</t>
  </si>
  <si>
    <t>22h 29m 40s</t>
  </si>
  <si>
    <t>-20° 47' 23"</t>
  </si>
  <si>
    <t>6.3</t>
  </si>
  <si>
    <t>16.0'x12.0'</t>
  </si>
  <si>
    <t>Helical Nebula</t>
  </si>
  <si>
    <t>NGC 7626</t>
  </si>
  <si>
    <t>23h 20m 42s</t>
  </si>
  <si>
    <t>08° 13' 00"</t>
  </si>
  <si>
    <t>2.5'</t>
  </si>
  <si>
    <t>NGC 7631</t>
  </si>
  <si>
    <t>23h 21m 24s</t>
  </si>
  <si>
    <t>1.9'</t>
  </si>
  <si>
    <t>NGC 7331</t>
  </si>
  <si>
    <t>22h 37m 08s</t>
  </si>
  <si>
    <t>34° 25' 27"</t>
  </si>
  <si>
    <t>9.5</t>
  </si>
  <si>
    <t>11.4'x4.0'</t>
  </si>
  <si>
    <t>Little Andromeda Galaxy</t>
  </si>
  <si>
    <t>NGC 7662</t>
  </si>
  <si>
    <t>23h 25m 57s</t>
  </si>
  <si>
    <t>42° 32' 44"</t>
  </si>
  <si>
    <t>2.2'</t>
  </si>
  <si>
    <t>Blue Snowball Nebula</t>
  </si>
  <si>
    <t>NGC 7789</t>
  </si>
  <si>
    <t>23h 57m 04s</t>
  </si>
  <si>
    <t>56° 44' 09"</t>
  </si>
  <si>
    <t>6.7</t>
  </si>
  <si>
    <t>King 10</t>
  </si>
  <si>
    <t>22h 54m 58s</t>
  </si>
  <si>
    <t>59° 10' 16"</t>
  </si>
  <si>
    <t>3.0'</t>
  </si>
  <si>
    <t>M52</t>
  </si>
  <si>
    <t>23h 24m 12s</t>
  </si>
  <si>
    <t>61° 35' 00"</t>
  </si>
  <si>
    <t>NGC 7635</t>
  </si>
  <si>
    <t>61° 12' 00"</t>
  </si>
  <si>
    <t>Bubble Nebula</t>
  </si>
  <si>
    <t>Selected Target:</t>
  </si>
  <si>
    <t>Size</t>
  </si>
  <si>
    <t>Name</t>
  </si>
  <si>
    <t>Target</t>
  </si>
  <si>
    <t>Mag</t>
  </si>
  <si>
    <t>8" SCT</t>
  </si>
  <si>
    <t>10" SCT</t>
  </si>
  <si>
    <t>Televue 24 mm  Panoptic</t>
  </si>
  <si>
    <t>Vixen ED80Sf</t>
  </si>
  <si>
    <t>Sony ICX055BL</t>
  </si>
  <si>
    <t>Starlight Expr. SXV Guider</t>
  </si>
  <si>
    <t>x Native f-ratio</t>
  </si>
  <si>
    <t>Guide Speed:</t>
  </si>
  <si>
    <t>SBIG STT Guider</t>
  </si>
  <si>
    <t>Kodak KAI-0340</t>
  </si>
  <si>
    <t>SBIG STT 8300</t>
  </si>
  <si>
    <t>Kodak KAF-8300</t>
  </si>
  <si>
    <t>AstroTech</t>
  </si>
  <si>
    <t>AT-66ED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</si>
</sst>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&quot; mm&quot;"/>
    <numFmt numFmtId="165" formatCode="####.0&quot; mm&quot;"/>
    <numFmt numFmtId="166" formatCode="##&quot;°&quot;"/>
    <numFmt numFmtId="167" formatCode="0.0"/>
    <numFmt numFmtId="168" formatCode="&quot;f/&quot;##.0"/>
    <numFmt numFmtId="169" formatCode="&quot;f/&quot;\ 0.0"/>
    <numFmt numFmtId="170" formatCode="&quot;B=&quot;0"/>
    <numFmt numFmtId="171" formatCode="&quot;1/&quot;0"/>
    <numFmt numFmtId="172" formatCode="0.00&quot; s&quot;"/>
    <numFmt numFmtId="173" formatCode="0.00&quot; μm&quot;"/>
    <numFmt numFmtId="174" formatCode="####.0&quot;'&quot;"/>
    <numFmt numFmtId="175" formatCode="0.00&quot;''&quot;"/>
    <numFmt numFmtId="176" formatCode="&quot;f/&quot;0.0"/>
    <numFmt numFmtId="177" formatCode="#0&quot; mm&quot;"/>
    <numFmt numFmtId="178" formatCode="#0.00&quot; mm&quot;"/>
    <numFmt numFmtId="179" formatCode="#0.0&quot; mm&quot;"/>
    <numFmt numFmtId="180" formatCode="#0&quot;°&quot;"/>
    <numFmt numFmtId="181" formatCode="####&quot;x&quot;"/>
    <numFmt numFmtId="182" formatCode="#0&quot;'&quot;"/>
    <numFmt numFmtId="183" formatCode="00.0"/>
    <numFmt numFmtId="184" formatCode="00"/>
    <numFmt numFmtId="185" formatCode="&quot;M&quot;##"/>
  </numFmts>
  <fonts count="12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1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15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2" fontId="8" fillId="0" borderId="17" xfId="0" applyNumberFormat="1" applyFont="1" applyBorder="1" applyAlignment="1">
      <alignment horizontal="centerContinuous"/>
    </xf>
    <xf numFmtId="181" fontId="8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181" fontId="0" fillId="0" borderId="5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left"/>
    </xf>
    <xf numFmtId="175" fontId="0" fillId="0" borderId="16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79" fontId="0" fillId="0" borderId="5" xfId="0" applyNumberFormat="1" applyFont="1" applyFill="1" applyBorder="1" applyAlignment="1" applyProtection="1">
      <alignment horizontal="center" wrapText="1"/>
      <protection locked="0"/>
    </xf>
    <xf numFmtId="182" fontId="0" fillId="0" borderId="5" xfId="0" applyNumberFormat="1" applyFont="1" applyFill="1" applyBorder="1" applyAlignment="1">
      <alignment horizontal="center"/>
    </xf>
    <xf numFmtId="180" fontId="0" fillId="0" borderId="5" xfId="0" applyNumberFormat="1" applyFont="1" applyFill="1" applyBorder="1" applyAlignment="1">
      <alignment horizontal="center"/>
    </xf>
    <xf numFmtId="177" fontId="0" fillId="0" borderId="5" xfId="0" applyNumberFormat="1" applyFont="1" applyFill="1" applyBorder="1" applyAlignment="1" applyProtection="1">
      <alignment horizontal="center" wrapText="1"/>
      <protection locked="0"/>
    </xf>
    <xf numFmtId="179" fontId="8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>
      <alignment horizontal="center" wrapText="1"/>
    </xf>
    <xf numFmtId="176" fontId="8" fillId="0" borderId="5" xfId="0" applyNumberFormat="1" applyFont="1" applyBorder="1" applyAlignment="1">
      <alignment horizontal="center"/>
    </xf>
    <xf numFmtId="182" fontId="8" fillId="0" borderId="5" xfId="0" applyNumberFormat="1" applyFont="1" applyBorder="1" applyAlignment="1">
      <alignment horizontal="center"/>
    </xf>
    <xf numFmtId="180" fontId="8" fillId="0" borderId="5" xfId="0" applyNumberFormat="1" applyFont="1" applyBorder="1" applyAlignment="1">
      <alignment horizontal="center"/>
    </xf>
    <xf numFmtId="177" fontId="8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>
      <alignment horizontal="centerContinuous" wrapText="1"/>
    </xf>
    <xf numFmtId="0" fontId="0" fillId="0" borderId="17" xfId="0" applyFont="1" applyFill="1" applyBorder="1" applyAlignment="1">
      <alignment horizontal="centerContinuous" wrapText="1"/>
    </xf>
    <xf numFmtId="178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Continuous" wrapText="1"/>
    </xf>
    <xf numFmtId="174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18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85" fontId="0" fillId="0" borderId="5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right"/>
    </xf>
    <xf numFmtId="183" fontId="0" fillId="0" borderId="5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0" fillId="0" borderId="7" xfId="0" applyFont="1" applyFill="1" applyBorder="1" applyAlignment="1">
      <alignment horizontal="centerContinuous" wrapText="1"/>
    </xf>
    <xf numFmtId="0" fontId="0" fillId="0" borderId="1" xfId="0" applyFont="1" applyFill="1" applyBorder="1" applyAlignment="1">
      <alignment horizontal="centerContinuous" wrapText="1"/>
    </xf>
    <xf numFmtId="0" fontId="0" fillId="2" borderId="5" xfId="0" applyFont="1" applyFill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7" xfId="0" applyFont="1" applyFill="1" applyBorder="1" applyAlignment="1">
      <alignment horizontal="centerContinuous"/>
    </xf>
    <xf numFmtId="167" fontId="2" fillId="0" borderId="0" xfId="0" applyNumberFormat="1" applyFont="1" applyFill="1" applyAlignment="1">
      <alignment horizontal="left"/>
    </xf>
    <xf numFmtId="2" fontId="10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7" fontId="10" fillId="0" borderId="16" xfId="0" applyNumberFormat="1" applyFont="1" applyBorder="1" applyAlignment="1">
      <alignment horizontal="right"/>
    </xf>
    <xf numFmtId="0" fontId="2" fillId="0" borderId="15" xfId="0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3" borderId="17" xfId="0" applyFont="1" applyFill="1" applyBorder="1" applyAlignment="1">
      <alignment/>
    </xf>
    <xf numFmtId="0" fontId="7" fillId="3" borderId="16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Continuous" wrapText="1"/>
    </xf>
    <xf numFmtId="0" fontId="7" fillId="3" borderId="17" xfId="0" applyFont="1" applyFill="1" applyBorder="1" applyAlignment="1">
      <alignment horizontal="centerContinuous" wrapText="1"/>
    </xf>
    <xf numFmtId="0" fontId="7" fillId="3" borderId="5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Continuous"/>
    </xf>
    <xf numFmtId="0" fontId="7" fillId="3" borderId="20" xfId="0" applyFont="1" applyFill="1" applyBorder="1" applyAlignment="1">
      <alignment horizontal="centerContinuous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7" xfId="0" applyFont="1" applyFill="1" applyBorder="1" applyAlignment="1">
      <alignment horizontal="centerContinuous"/>
    </xf>
    <xf numFmtId="0" fontId="7" fillId="3" borderId="8" xfId="0" applyFont="1" applyFill="1" applyBorder="1" applyAlignment="1">
      <alignment horizontal="centerContinuous"/>
    </xf>
    <xf numFmtId="0" fontId="7" fillId="3" borderId="15" xfId="0" applyFont="1" applyFill="1" applyBorder="1" applyAlignment="1">
      <alignment horizontal="centerContinuous" wrapText="1"/>
    </xf>
    <xf numFmtId="0" fontId="7" fillId="3" borderId="17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112"/>
  <sheetViews>
    <sheetView showGridLines="0" tabSelected="1" workbookViewId="0" topLeftCell="A1">
      <selection activeCell="G35" sqref="G35"/>
    </sheetView>
  </sheetViews>
  <sheetFormatPr defaultColWidth="9.140625" defaultRowHeight="15" customHeight="1"/>
  <cols>
    <col min="1" max="1" width="9.140625" style="29" customWidth="1"/>
    <col min="2" max="2" width="46.28125" style="29" hidden="1" customWidth="1"/>
    <col min="3" max="3" width="10.00390625" style="29" customWidth="1"/>
    <col min="4" max="4" width="13.57421875" style="29" customWidth="1"/>
    <col min="5" max="11" width="9.28125" style="29" customWidth="1"/>
    <col min="12" max="16384" width="9.140625" style="29" customWidth="1"/>
  </cols>
  <sheetData>
    <row r="2" spans="2:13" ht="15" customHeight="1">
      <c r="B2" s="36" t="str">
        <f>IF(LEFT($I$21,1)&lt;&gt;"-",LEFT($I$21,2),LEFT($I$21,3))</f>
        <v>-05</v>
      </c>
      <c r="C2" s="150" t="s">
        <v>1258</v>
      </c>
      <c r="D2" s="151"/>
      <c r="E2" s="170" t="s">
        <v>337</v>
      </c>
      <c r="F2" s="173"/>
      <c r="G2" s="173"/>
      <c r="H2" s="174"/>
      <c r="I2" s="62"/>
      <c r="J2" s="147" t="s">
        <v>40</v>
      </c>
      <c r="K2" s="148">
        <f>$B$8*$B$6</f>
        <v>-5.45</v>
      </c>
      <c r="L2" s="149" t="s">
        <v>41</v>
      </c>
      <c r="M2" s="62"/>
    </row>
    <row r="3" spans="2:8" ht="15" customHeight="1">
      <c r="B3" s="36">
        <f>ABS(B2)</f>
        <v>5</v>
      </c>
      <c r="C3" s="150" t="s">
        <v>78</v>
      </c>
      <c r="D3" s="151"/>
      <c r="E3" s="170" t="s">
        <v>1266</v>
      </c>
      <c r="F3" s="171"/>
      <c r="G3" s="171"/>
      <c r="H3" s="172"/>
    </row>
    <row r="4" spans="2:8" ht="15" customHeight="1">
      <c r="B4" s="36" t="str">
        <f>IF(LEFT($I$21,1)&lt;&gt;"-",MID($I$21,5,2),MID($I$21,6,2))</f>
        <v>27</v>
      </c>
      <c r="C4" s="150" t="s">
        <v>48</v>
      </c>
      <c r="D4" s="151"/>
      <c r="E4" s="170" t="s">
        <v>1265</v>
      </c>
      <c r="F4" s="171"/>
      <c r="G4" s="171"/>
      <c r="H4" s="172"/>
    </row>
    <row r="5" spans="2:8" ht="15" customHeight="1">
      <c r="B5" s="36" t="str">
        <f>IF(LEFT($I$21,1)&lt;&gt;"-",MID($I$21,9,2),MID($I$21,10,2))</f>
        <v>00</v>
      </c>
      <c r="C5" s="150" t="s">
        <v>79</v>
      </c>
      <c r="D5" s="151"/>
      <c r="E5" s="170" t="s">
        <v>1268</v>
      </c>
      <c r="F5" s="171"/>
      <c r="G5" s="171"/>
      <c r="H5" s="172"/>
    </row>
    <row r="6" spans="2:8" ht="15" customHeight="1">
      <c r="B6" s="36">
        <f>B3+B4/60+B5/3600</f>
        <v>5.45</v>
      </c>
      <c r="C6" s="150" t="s">
        <v>47</v>
      </c>
      <c r="D6" s="152"/>
      <c r="E6" s="143">
        <v>1</v>
      </c>
      <c r="F6" s="45" t="s">
        <v>1269</v>
      </c>
      <c r="G6" s="45"/>
      <c r="H6" s="144"/>
    </row>
    <row r="7" spans="2:8" ht="15" customHeight="1">
      <c r="B7" s="36"/>
      <c r="C7" s="153" t="s">
        <v>1270</v>
      </c>
      <c r="D7" s="151"/>
      <c r="E7" s="145">
        <v>0.5</v>
      </c>
      <c r="F7" s="146" t="s">
        <v>39</v>
      </c>
      <c r="G7" s="45"/>
      <c r="H7" s="144"/>
    </row>
    <row r="8" spans="1:14" ht="15" customHeight="1">
      <c r="A8" s="39"/>
      <c r="B8" s="142">
        <f>IF(LEFT(B2,1)="-",-1,1)</f>
        <v>-1</v>
      </c>
      <c r="C8" s="39"/>
      <c r="D8" s="39"/>
      <c r="E8" s="63"/>
      <c r="F8" s="39"/>
      <c r="G8" s="39"/>
      <c r="H8" s="39"/>
      <c r="I8" s="39"/>
      <c r="J8" s="39"/>
      <c r="K8" s="39"/>
      <c r="L8" s="39"/>
      <c r="M8" s="39"/>
      <c r="N8" s="39"/>
    </row>
    <row r="9" spans="1:15" ht="15" customHeight="1">
      <c r="A9" s="39"/>
      <c r="B9" s="39"/>
      <c r="C9" s="154"/>
      <c r="D9" s="80"/>
      <c r="E9" s="81" t="s">
        <v>104</v>
      </c>
      <c r="F9" s="82" t="s">
        <v>29</v>
      </c>
      <c r="G9" s="39"/>
      <c r="H9" s="64" t="s">
        <v>31</v>
      </c>
      <c r="I9" s="65" t="s">
        <v>36</v>
      </c>
      <c r="J9" s="65"/>
      <c r="K9" s="66"/>
      <c r="L9" s="67"/>
      <c r="M9" s="67"/>
      <c r="N9" s="67"/>
      <c r="O9" s="62"/>
    </row>
    <row r="10" spans="1:15" ht="15" customHeight="1">
      <c r="A10" s="39"/>
      <c r="B10" s="39"/>
      <c r="C10" s="155" t="s">
        <v>35</v>
      </c>
      <c r="D10" s="83" t="s">
        <v>77</v>
      </c>
      <c r="E10" s="84" t="s">
        <v>28</v>
      </c>
      <c r="F10" s="85" t="s">
        <v>30</v>
      </c>
      <c r="G10" s="39"/>
      <c r="H10" s="67"/>
      <c r="I10" s="65" t="s">
        <v>32</v>
      </c>
      <c r="J10" s="67"/>
      <c r="K10" s="68"/>
      <c r="L10" s="67"/>
      <c r="M10" s="67"/>
      <c r="N10" s="67"/>
      <c r="O10" s="62"/>
    </row>
    <row r="11" spans="1:14" ht="15" customHeight="1">
      <c r="A11" s="39"/>
      <c r="B11" s="39"/>
      <c r="C11" s="69" t="str">
        <f>VLOOKUP($E$3,$B$27:$G$39,3,0)</f>
        <v>ED80Sf</v>
      </c>
      <c r="D11" s="70">
        <f>VLOOKUP($E$3,$B$27:$G$39,4,0)</f>
        <v>80</v>
      </c>
      <c r="E11" s="69">
        <f>VLOOKUP($E$3,$B$27:$G$39,5,0)*$E$6</f>
        <v>7.5</v>
      </c>
      <c r="F11" s="70">
        <f>E11*D11</f>
        <v>600</v>
      </c>
      <c r="G11" s="39"/>
      <c r="H11" s="39"/>
      <c r="I11" s="39"/>
      <c r="J11" s="39"/>
      <c r="K11" s="39"/>
      <c r="L11" s="39"/>
      <c r="M11" s="39"/>
      <c r="N11" s="39"/>
    </row>
    <row r="12" spans="1:14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44.25" customHeight="1">
      <c r="A13" s="39"/>
      <c r="B13" s="71" t="s">
        <v>49</v>
      </c>
      <c r="C13" s="156" t="s">
        <v>109</v>
      </c>
      <c r="D13" s="157"/>
      <c r="E13" s="86" t="s">
        <v>52</v>
      </c>
      <c r="F13" s="158" t="s">
        <v>76</v>
      </c>
      <c r="G13" s="86" t="s">
        <v>53</v>
      </c>
      <c r="H13" s="158" t="s">
        <v>3</v>
      </c>
      <c r="I13" s="86" t="s">
        <v>54</v>
      </c>
      <c r="J13" s="86" t="s">
        <v>55</v>
      </c>
      <c r="K13" s="86" t="s">
        <v>56</v>
      </c>
      <c r="L13" s="86" t="s">
        <v>57</v>
      </c>
      <c r="M13" s="39"/>
      <c r="N13" s="39"/>
    </row>
    <row r="14" spans="1:14" ht="15" customHeight="1">
      <c r="A14" s="39"/>
      <c r="B14" s="96" t="str">
        <f>VLOOKUP($E$4,$B$57:$K$112,1,0)</f>
        <v>Televue 24 mm  Panoptic</v>
      </c>
      <c r="C14" s="109" t="str">
        <f>VLOOKUP($E$4,$B$57:$K$112,2,0)&amp;" "&amp;VLOOKUP($E$4,$B$57:$K$112,3,0)</f>
        <v>Televue  Panoptic</v>
      </c>
      <c r="D14" s="110"/>
      <c r="E14" s="99">
        <f>VLOOKUP($E$4,$B$57:$K$112,4,0)</f>
        <v>24</v>
      </c>
      <c r="F14" s="72">
        <f>VLOOKUP($E$4,$B$57:$K$112,5,0)</f>
        <v>25</v>
      </c>
      <c r="G14" s="100">
        <f>VLOOKUP($E$4,$B$57:$K$112,6,0)</f>
        <v>163.20000000000002</v>
      </c>
      <c r="H14" s="111">
        <f>$D$11/F14</f>
        <v>3.2</v>
      </c>
      <c r="I14" s="97" t="str">
        <f>VLOOKUP($E$4,$B$57:$K$112,7,0)</f>
        <v> 1¼"</v>
      </c>
      <c r="J14" s="97">
        <f>VLOOKUP($E$4,$B$57:$K$112,8,0)</f>
        <v>6</v>
      </c>
      <c r="K14" s="101">
        <f>VLOOKUP($E$4,$B$57:$K$112,9,0)</f>
        <v>68</v>
      </c>
      <c r="L14" s="102">
        <f>VLOOKUP($E$4,$B$57:$K$112,10,0)</f>
        <v>15</v>
      </c>
      <c r="M14" s="39"/>
      <c r="N14" s="39"/>
    </row>
    <row r="15" spans="1:14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>
      <c r="A16" s="39"/>
      <c r="B16" s="39"/>
      <c r="C16" s="154"/>
      <c r="D16" s="163"/>
      <c r="E16" s="80"/>
      <c r="F16" s="87"/>
      <c r="G16" s="88"/>
      <c r="H16" s="80"/>
      <c r="I16" s="87" t="s">
        <v>33</v>
      </c>
      <c r="J16" s="88"/>
      <c r="K16" s="159" t="s">
        <v>44</v>
      </c>
      <c r="L16" s="160"/>
      <c r="M16" s="89" t="s">
        <v>45</v>
      </c>
      <c r="N16" s="90"/>
    </row>
    <row r="17" spans="1:14" ht="15" customHeight="1">
      <c r="A17" s="39"/>
      <c r="B17" s="39"/>
      <c r="C17" s="164" t="s">
        <v>111</v>
      </c>
      <c r="D17" s="165"/>
      <c r="E17" s="91"/>
      <c r="F17" s="92" t="s">
        <v>108</v>
      </c>
      <c r="G17" s="93"/>
      <c r="H17" s="91"/>
      <c r="I17" s="92" t="s">
        <v>34</v>
      </c>
      <c r="J17" s="93"/>
      <c r="K17" s="161" t="s">
        <v>42</v>
      </c>
      <c r="L17" s="162" t="s">
        <v>43</v>
      </c>
      <c r="M17" s="94" t="s">
        <v>42</v>
      </c>
      <c r="N17" s="95" t="s">
        <v>43</v>
      </c>
    </row>
    <row r="18" spans="1:14" ht="15" customHeight="1">
      <c r="A18" s="39"/>
      <c r="B18" s="39"/>
      <c r="C18" s="109" t="str">
        <f>VLOOKUP($E$5,$C$45:$P$51,1,0)</f>
        <v>Starlight Expr. SXV Guider</v>
      </c>
      <c r="D18" s="110"/>
      <c r="E18" s="73">
        <f>VLOOKUP($E$5,$C$45:$P$51,3,0)*H18/60</f>
        <v>27.90277777777778</v>
      </c>
      <c r="F18" s="74" t="s">
        <v>27</v>
      </c>
      <c r="G18" s="75">
        <f>VLOOKUP($E$5,$C$45:$P$51,5,0)*J18/60</f>
        <v>20.807499999999997</v>
      </c>
      <c r="H18" s="76">
        <f>205*VLOOKUP($E$5,$C$45:$P$51,6,0)/$F$11</f>
        <v>3.3483333333333336</v>
      </c>
      <c r="I18" s="74" t="s">
        <v>27</v>
      </c>
      <c r="J18" s="77">
        <f>205*VLOOKUP($E$5,$C$45:$P$51,8,0)/$F$11</f>
        <v>4.305</v>
      </c>
      <c r="K18" s="78">
        <f>COS($K$2*PI()/180)*$E$7*15/H18</f>
        <v>2.2297947100100237</v>
      </c>
      <c r="L18" s="79">
        <f>$E$7*15/J18</f>
        <v>1.7421602787456447</v>
      </c>
      <c r="M18" s="78">
        <f>K18/2</f>
        <v>1.1148973550050119</v>
      </c>
      <c r="N18" s="79">
        <f>L18/2</f>
        <v>0.8710801393728224</v>
      </c>
    </row>
    <row r="19" spans="1:14" ht="15" customHeight="1">
      <c r="A19" s="39"/>
      <c r="B19" s="39"/>
      <c r="C19" s="112"/>
      <c r="D19" s="112"/>
      <c r="E19" s="113"/>
      <c r="F19" s="114"/>
      <c r="G19" s="115"/>
      <c r="H19" s="116"/>
      <c r="I19" s="114"/>
      <c r="J19" s="116"/>
      <c r="K19" s="117"/>
      <c r="L19" s="117"/>
      <c r="M19" s="117"/>
      <c r="N19" s="117"/>
    </row>
    <row r="20" spans="1:16" ht="15" customHeight="1">
      <c r="A20" s="39"/>
      <c r="B20" s="39"/>
      <c r="C20" s="156" t="s">
        <v>1261</v>
      </c>
      <c r="D20" s="166"/>
      <c r="E20" s="166"/>
      <c r="F20" s="167"/>
      <c r="G20" s="138" t="s">
        <v>117</v>
      </c>
      <c r="H20" s="141"/>
      <c r="I20" s="138" t="s">
        <v>118</v>
      </c>
      <c r="J20" s="141"/>
      <c r="K20" s="132" t="s">
        <v>1262</v>
      </c>
      <c r="L20" s="168" t="s">
        <v>1259</v>
      </c>
      <c r="M20" s="138" t="s">
        <v>120</v>
      </c>
      <c r="N20" s="141"/>
      <c r="P20" s="117"/>
    </row>
    <row r="21" spans="1:16" ht="15" customHeight="1">
      <c r="A21" s="39"/>
      <c r="B21" s="39"/>
      <c r="C21" s="136" t="str">
        <f>VLOOKUP($E$2,DeepSkyRange,9,0)</f>
        <v>M42 Orion Nebula / Trapezium</v>
      </c>
      <c r="D21" s="137"/>
      <c r="E21" s="134"/>
      <c r="F21" s="135"/>
      <c r="G21" s="139" t="str">
        <f>VLOOKUP($E$2,DeepSkyRange,2,0)</f>
        <v>05h 35m 24s</v>
      </c>
      <c r="H21" s="140"/>
      <c r="I21" s="139" t="str">
        <f>VLOOKUP($E$2,DeepSkyRange,3,0)</f>
        <v>-05° 27' 00"</v>
      </c>
      <c r="J21" s="140"/>
      <c r="K21" s="119">
        <f>IF(VLOOKUP($E$2,DeepSkyRange,4,0)&gt;0,VLOOKUP($E$2,DeepSkyRange,4,0),"")</f>
        <v>5</v>
      </c>
      <c r="L21" s="120" t="str">
        <f>VLOOKUP($E$2,DeepSkyRange,5,0)</f>
        <v>85'x60'</v>
      </c>
      <c r="M21" s="139" t="str">
        <f>VLOOKUP($E$2,DeepSkyRange,6,0)</f>
        <v>Emission Nebula</v>
      </c>
      <c r="N21" s="140"/>
      <c r="P21" s="117"/>
    </row>
    <row r="22" spans="3:14" ht="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3:14" ht="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3:11" ht="15" customHeight="1">
      <c r="C24" s="38" t="s">
        <v>75</v>
      </c>
      <c r="D24" s="42"/>
      <c r="E24" s="42"/>
      <c r="F24" s="42"/>
      <c r="G24" s="42"/>
      <c r="H24" s="42"/>
      <c r="I24" s="42"/>
      <c r="J24" s="42"/>
      <c r="K24" s="42"/>
    </row>
    <row r="25" spans="3:11" ht="15" customHeight="1">
      <c r="C25" s="38"/>
      <c r="D25" s="42"/>
      <c r="E25" s="42"/>
      <c r="F25" s="42"/>
      <c r="G25" s="42"/>
      <c r="H25" s="42"/>
      <c r="I25" s="42"/>
      <c r="J25" s="42"/>
      <c r="K25" s="42"/>
    </row>
    <row r="26" spans="2:12" ht="44.25" customHeight="1">
      <c r="B26" s="104" t="s">
        <v>84</v>
      </c>
      <c r="C26" s="37" t="s">
        <v>85</v>
      </c>
      <c r="D26" s="37" t="s">
        <v>86</v>
      </c>
      <c r="E26" s="37" t="s">
        <v>77</v>
      </c>
      <c r="F26" s="37" t="s">
        <v>28</v>
      </c>
      <c r="G26" s="37" t="s">
        <v>103</v>
      </c>
      <c r="H26" s="37" t="s">
        <v>76</v>
      </c>
      <c r="I26" s="71" t="s">
        <v>3</v>
      </c>
      <c r="J26" s="42"/>
      <c r="K26" s="42"/>
      <c r="L26" s="42"/>
    </row>
    <row r="27" spans="2:12" ht="15" customHeight="1">
      <c r="B27" s="96" t="str">
        <f>C27&amp;" "&amp;D27</f>
        <v>Generic Telescope</v>
      </c>
      <c r="C27" s="44" t="s">
        <v>91</v>
      </c>
      <c r="D27" s="44" t="s">
        <v>35</v>
      </c>
      <c r="E27" s="43">
        <f>18*25.4</f>
        <v>457.2</v>
      </c>
      <c r="F27" s="105">
        <v>4.5</v>
      </c>
      <c r="G27" s="43">
        <f aca="true" t="shared" si="0" ref="G27:G36">F27*E27</f>
        <v>2057.4</v>
      </c>
      <c r="H27" s="61">
        <f aca="true" t="shared" si="1" ref="H27:H39">G27/$E$14*$E$6</f>
        <v>85.72500000000001</v>
      </c>
      <c r="I27" s="103">
        <f aca="true" t="shared" si="2" ref="I27:I39">E27/H27</f>
        <v>5.333333333333333</v>
      </c>
      <c r="J27" s="42"/>
      <c r="K27" s="42"/>
      <c r="L27" s="42"/>
    </row>
    <row r="28" spans="2:12" ht="15" customHeight="1">
      <c r="B28" s="96" t="str">
        <f>C28&amp;" "&amp;D28</f>
        <v>Meade 10" SCT</v>
      </c>
      <c r="C28" s="44" t="s">
        <v>58</v>
      </c>
      <c r="D28" s="44" t="s">
        <v>1264</v>
      </c>
      <c r="E28" s="43">
        <v>250</v>
      </c>
      <c r="F28" s="105">
        <v>10</v>
      </c>
      <c r="G28" s="43">
        <f t="shared" si="0"/>
        <v>2500</v>
      </c>
      <c r="H28" s="61">
        <f t="shared" si="1"/>
        <v>104.16666666666667</v>
      </c>
      <c r="I28" s="103">
        <f t="shared" si="2"/>
        <v>2.4</v>
      </c>
      <c r="J28" s="42"/>
      <c r="K28" s="42"/>
      <c r="L28" s="42"/>
    </row>
    <row r="29" spans="2:12" ht="15" customHeight="1">
      <c r="B29" s="96" t="str">
        <f>C29&amp;" "&amp;D29</f>
        <v>Celestron 8" SCT</v>
      </c>
      <c r="C29" s="44" t="s">
        <v>90</v>
      </c>
      <c r="D29" s="44" t="s">
        <v>1263</v>
      </c>
      <c r="E29" s="43">
        <v>200</v>
      </c>
      <c r="F29" s="105">
        <v>10</v>
      </c>
      <c r="G29" s="43">
        <f>F29*E29</f>
        <v>2000</v>
      </c>
      <c r="H29" s="61">
        <f t="shared" si="1"/>
        <v>83.33333333333333</v>
      </c>
      <c r="I29" s="103">
        <f>E29/H29</f>
        <v>2.4000000000000004</v>
      </c>
      <c r="J29" s="42"/>
      <c r="K29" s="42"/>
      <c r="L29" s="42"/>
    </row>
    <row r="30" spans="2:12" ht="15" customHeight="1">
      <c r="B30" s="96" t="str">
        <f>C30&amp;" "&amp;D30</f>
        <v>Celestron C9.25</v>
      </c>
      <c r="C30" s="44" t="s">
        <v>90</v>
      </c>
      <c r="D30" s="44" t="s">
        <v>73</v>
      </c>
      <c r="E30" s="43">
        <v>235</v>
      </c>
      <c r="F30" s="105">
        <v>10</v>
      </c>
      <c r="G30" s="43">
        <f t="shared" si="0"/>
        <v>2350</v>
      </c>
      <c r="H30" s="61">
        <f t="shared" si="1"/>
        <v>97.91666666666667</v>
      </c>
      <c r="I30" s="103">
        <f t="shared" si="2"/>
        <v>2.4</v>
      </c>
      <c r="J30" s="42"/>
      <c r="K30" s="42"/>
      <c r="L30" s="42"/>
    </row>
    <row r="31" spans="2:12" ht="15" customHeight="1">
      <c r="B31" s="96" t="str">
        <f aca="true" t="shared" si="3" ref="B31:B39">C31&amp;" "&amp;D31</f>
        <v>Orion XT8 Dob</v>
      </c>
      <c r="C31" s="44" t="s">
        <v>87</v>
      </c>
      <c r="D31" s="44" t="s">
        <v>83</v>
      </c>
      <c r="E31" s="43">
        <v>200</v>
      </c>
      <c r="F31" s="105">
        <v>6</v>
      </c>
      <c r="G31" s="43">
        <f t="shared" si="0"/>
        <v>1200</v>
      </c>
      <c r="H31" s="61">
        <f t="shared" si="1"/>
        <v>50</v>
      </c>
      <c r="I31" s="103">
        <f t="shared" si="2"/>
        <v>4</v>
      </c>
      <c r="J31" s="42"/>
      <c r="K31" s="42"/>
      <c r="L31" s="42"/>
    </row>
    <row r="32" spans="2:12" ht="15" customHeight="1">
      <c r="B32" s="96" t="str">
        <f t="shared" si="3"/>
        <v>Meade ETX-125</v>
      </c>
      <c r="C32" s="44" t="s">
        <v>58</v>
      </c>
      <c r="D32" s="44" t="s">
        <v>37</v>
      </c>
      <c r="E32" s="43">
        <v>127</v>
      </c>
      <c r="F32" s="105">
        <v>15</v>
      </c>
      <c r="G32" s="43">
        <f t="shared" si="0"/>
        <v>1905</v>
      </c>
      <c r="H32" s="61">
        <f t="shared" si="1"/>
        <v>79.375</v>
      </c>
      <c r="I32" s="103">
        <f t="shared" si="2"/>
        <v>1.6</v>
      </c>
      <c r="J32" s="42"/>
      <c r="K32" s="42"/>
      <c r="L32" s="42"/>
    </row>
    <row r="33" spans="2:12" ht="15" customHeight="1">
      <c r="B33" s="96" t="str">
        <f t="shared" si="3"/>
        <v>Meade AR-5</v>
      </c>
      <c r="C33" s="44" t="s">
        <v>58</v>
      </c>
      <c r="D33" s="44" t="s">
        <v>80</v>
      </c>
      <c r="E33" s="43">
        <v>127</v>
      </c>
      <c r="F33" s="105">
        <v>9</v>
      </c>
      <c r="G33" s="43">
        <f t="shared" si="0"/>
        <v>1143</v>
      </c>
      <c r="H33" s="61">
        <f t="shared" si="1"/>
        <v>47.625</v>
      </c>
      <c r="I33" s="103">
        <f t="shared" si="2"/>
        <v>2.6666666666666665</v>
      </c>
      <c r="J33" s="42"/>
      <c r="K33" s="42"/>
      <c r="L33" s="42"/>
    </row>
    <row r="34" spans="2:12" ht="15" customHeight="1">
      <c r="B34" s="96" t="str">
        <f t="shared" si="3"/>
        <v>Takahashi FSQ-106N</v>
      </c>
      <c r="C34" s="44" t="s">
        <v>89</v>
      </c>
      <c r="D34" s="44" t="s">
        <v>38</v>
      </c>
      <c r="E34" s="43">
        <v>106</v>
      </c>
      <c r="F34" s="105">
        <v>5</v>
      </c>
      <c r="G34" s="43">
        <f t="shared" si="0"/>
        <v>530</v>
      </c>
      <c r="H34" s="61">
        <f t="shared" si="1"/>
        <v>22.083333333333332</v>
      </c>
      <c r="I34" s="103">
        <f t="shared" si="2"/>
        <v>4.8</v>
      </c>
      <c r="J34" s="42"/>
      <c r="K34" s="42"/>
      <c r="L34" s="42"/>
    </row>
    <row r="35" spans="2:12" ht="15" customHeight="1">
      <c r="B35" s="96" t="str">
        <f t="shared" si="3"/>
        <v>Vixen ED80Sf</v>
      </c>
      <c r="C35" s="44" t="s">
        <v>88</v>
      </c>
      <c r="D35" s="44" t="s">
        <v>82</v>
      </c>
      <c r="E35" s="43">
        <v>80</v>
      </c>
      <c r="F35" s="105">
        <v>7.5</v>
      </c>
      <c r="G35" s="43">
        <f t="shared" si="0"/>
        <v>600</v>
      </c>
      <c r="H35" s="61">
        <f t="shared" si="1"/>
        <v>25</v>
      </c>
      <c r="I35" s="103">
        <f t="shared" si="2"/>
        <v>3.2</v>
      </c>
      <c r="J35" s="42"/>
      <c r="K35" s="42"/>
      <c r="L35" s="42"/>
    </row>
    <row r="36" spans="2:12" ht="15" customHeight="1">
      <c r="B36" s="96" t="str">
        <f t="shared" si="3"/>
        <v>Orion ST-80</v>
      </c>
      <c r="C36" s="44" t="s">
        <v>87</v>
      </c>
      <c r="D36" s="44" t="s">
        <v>81</v>
      </c>
      <c r="E36" s="43">
        <v>80</v>
      </c>
      <c r="F36" s="105">
        <v>5</v>
      </c>
      <c r="G36" s="43">
        <f t="shared" si="0"/>
        <v>400</v>
      </c>
      <c r="H36" s="61">
        <f t="shared" si="1"/>
        <v>16.666666666666668</v>
      </c>
      <c r="I36" s="103">
        <f t="shared" si="2"/>
        <v>4.8</v>
      </c>
      <c r="J36" s="42"/>
      <c r="K36" s="42"/>
      <c r="L36" s="42"/>
    </row>
    <row r="37" spans="2:12" ht="15" customHeight="1">
      <c r="B37" s="96" t="str">
        <f t="shared" si="3"/>
        <v>AstroTech AT-66ED</v>
      </c>
      <c r="C37" s="44" t="s">
        <v>1275</v>
      </c>
      <c r="D37" s="44" t="s">
        <v>1276</v>
      </c>
      <c r="E37" s="43">
        <v>66</v>
      </c>
      <c r="F37" s="105">
        <f>400/E37</f>
        <v>6.0606060606060606</v>
      </c>
      <c r="G37" s="43">
        <f>F37*E37</f>
        <v>400</v>
      </c>
      <c r="H37" s="61">
        <f t="shared" si="1"/>
        <v>16.666666666666668</v>
      </c>
      <c r="I37" s="103">
        <f>E37/H37</f>
        <v>3.9599999999999995</v>
      </c>
      <c r="J37" s="42"/>
      <c r="K37" s="42"/>
      <c r="L37" s="42"/>
    </row>
    <row r="38" spans="2:12" ht="15" customHeight="1">
      <c r="B38" s="96" t="str">
        <f t="shared" si="3"/>
        <v>Standard Lens</v>
      </c>
      <c r="C38" s="44" t="s">
        <v>107</v>
      </c>
      <c r="D38" s="44" t="s">
        <v>106</v>
      </c>
      <c r="E38" s="43">
        <f>G38/F38</f>
        <v>17.857142857142858</v>
      </c>
      <c r="F38" s="105">
        <v>2.8</v>
      </c>
      <c r="G38" s="43">
        <v>50</v>
      </c>
      <c r="H38" s="61">
        <f t="shared" si="1"/>
        <v>2.0833333333333335</v>
      </c>
      <c r="I38" s="103">
        <f t="shared" si="2"/>
        <v>8.571428571428571</v>
      </c>
      <c r="J38" s="42"/>
      <c r="K38" s="42"/>
      <c r="L38" s="42"/>
    </row>
    <row r="39" spans="2:12" ht="15" customHeight="1">
      <c r="B39" s="96" t="str">
        <f t="shared" si="3"/>
        <v>Telephoto Lens</v>
      </c>
      <c r="C39" s="44" t="s">
        <v>105</v>
      </c>
      <c r="D39" s="44" t="s">
        <v>106</v>
      </c>
      <c r="E39" s="43">
        <f>G39/F39</f>
        <v>48.214285714285715</v>
      </c>
      <c r="F39" s="105">
        <v>2.8</v>
      </c>
      <c r="G39" s="43">
        <v>135</v>
      </c>
      <c r="H39" s="61">
        <f t="shared" si="1"/>
        <v>5.625</v>
      </c>
      <c r="I39" s="103">
        <f t="shared" si="2"/>
        <v>8.571428571428571</v>
      </c>
      <c r="J39" s="42"/>
      <c r="K39" s="42"/>
      <c r="L39" s="42"/>
    </row>
    <row r="41" spans="4:7" ht="15" customHeight="1">
      <c r="D41" s="34"/>
      <c r="E41" s="31"/>
      <c r="F41" s="35"/>
      <c r="G41" s="30"/>
    </row>
    <row r="42" spans="3:11" ht="15" customHeight="1">
      <c r="C42" s="38" t="s">
        <v>102</v>
      </c>
      <c r="D42" s="42"/>
      <c r="E42" s="42"/>
      <c r="F42" s="42"/>
      <c r="G42" s="42"/>
      <c r="H42" s="42"/>
      <c r="I42" s="42"/>
      <c r="J42" s="42"/>
      <c r="K42" s="42"/>
    </row>
    <row r="43" spans="3:11" ht="15" customHeight="1">
      <c r="C43" s="42"/>
      <c r="D43" s="42"/>
      <c r="E43" s="42"/>
      <c r="F43" s="42"/>
      <c r="G43" s="42"/>
      <c r="H43" s="42"/>
      <c r="I43" s="42"/>
      <c r="J43" s="42"/>
      <c r="K43" s="42"/>
    </row>
    <row r="44" spans="3:16" ht="15" customHeight="1">
      <c r="C44" s="53" t="s">
        <v>92</v>
      </c>
      <c r="D44" s="54"/>
      <c r="E44" s="55" t="s">
        <v>93</v>
      </c>
      <c r="F44" s="56"/>
      <c r="G44" s="57"/>
      <c r="H44" s="55" t="s">
        <v>94</v>
      </c>
      <c r="I44" s="56"/>
      <c r="J44" s="57"/>
      <c r="K44" s="55" t="s">
        <v>46</v>
      </c>
      <c r="L44" s="56"/>
      <c r="M44" s="57"/>
      <c r="N44" s="55" t="s">
        <v>95</v>
      </c>
      <c r="O44" s="56"/>
      <c r="P44" s="57"/>
    </row>
    <row r="45" spans="3:16" ht="15" customHeight="1">
      <c r="C45" s="52" t="s">
        <v>112</v>
      </c>
      <c r="D45" s="45"/>
      <c r="E45" s="46">
        <v>1440</v>
      </c>
      <c r="F45" s="47" t="s">
        <v>27</v>
      </c>
      <c r="G45" s="50">
        <f>E45*2/3</f>
        <v>960</v>
      </c>
      <c r="H45" s="51">
        <v>25</v>
      </c>
      <c r="I45" s="48" t="s">
        <v>27</v>
      </c>
      <c r="J45" s="49">
        <v>25</v>
      </c>
      <c r="K45" s="51">
        <f>E45*H45/1000</f>
        <v>36</v>
      </c>
      <c r="L45" s="48" t="s">
        <v>27</v>
      </c>
      <c r="M45" s="49">
        <f>G45*J45/1000</f>
        <v>24</v>
      </c>
      <c r="N45" s="58" t="s">
        <v>113</v>
      </c>
      <c r="O45" s="59"/>
      <c r="P45" s="60"/>
    </row>
    <row r="46" spans="3:16" ht="15" customHeight="1">
      <c r="C46" s="52" t="s">
        <v>99</v>
      </c>
      <c r="D46" s="45"/>
      <c r="E46" s="46">
        <v>1392</v>
      </c>
      <c r="F46" s="47" t="s">
        <v>27</v>
      </c>
      <c r="G46" s="50">
        <v>1040</v>
      </c>
      <c r="H46" s="51">
        <v>6.45</v>
      </c>
      <c r="I46" s="48" t="s">
        <v>27</v>
      </c>
      <c r="J46" s="49">
        <v>6.45</v>
      </c>
      <c r="K46" s="51">
        <f>E46*H46/1000</f>
        <v>8.978399999999999</v>
      </c>
      <c r="L46" s="48" t="s">
        <v>27</v>
      </c>
      <c r="M46" s="49">
        <f>G46*J46/1000</f>
        <v>6.708</v>
      </c>
      <c r="N46" s="58" t="s">
        <v>96</v>
      </c>
      <c r="O46" s="59"/>
      <c r="P46" s="60"/>
    </row>
    <row r="47" spans="3:16" ht="15" customHeight="1">
      <c r="C47" s="52" t="s">
        <v>100</v>
      </c>
      <c r="D47" s="45"/>
      <c r="E47" s="46">
        <v>752</v>
      </c>
      <c r="F47" s="47" t="s">
        <v>27</v>
      </c>
      <c r="G47" s="50">
        <v>582</v>
      </c>
      <c r="H47" s="51">
        <v>8.6</v>
      </c>
      <c r="I47" s="48" t="s">
        <v>27</v>
      </c>
      <c r="J47" s="49">
        <v>8.3</v>
      </c>
      <c r="K47" s="51">
        <f>E47*H47/1000</f>
        <v>6.4672</v>
      </c>
      <c r="L47" s="48" t="s">
        <v>27</v>
      </c>
      <c r="M47" s="49">
        <f>G47*J47/1000</f>
        <v>4.8306000000000004</v>
      </c>
      <c r="N47" s="58" t="s">
        <v>97</v>
      </c>
      <c r="O47" s="59"/>
      <c r="P47" s="60"/>
    </row>
    <row r="48" spans="3:16" ht="15" customHeight="1">
      <c r="C48" s="52" t="s">
        <v>1271</v>
      </c>
      <c r="D48" s="45"/>
      <c r="E48" s="46">
        <v>640</v>
      </c>
      <c r="F48" s="47" t="s">
        <v>27</v>
      </c>
      <c r="G48" s="50">
        <v>480</v>
      </c>
      <c r="H48" s="51">
        <v>4.74</v>
      </c>
      <c r="I48" s="48" t="s">
        <v>27</v>
      </c>
      <c r="J48" s="49">
        <v>3.55</v>
      </c>
      <c r="K48" s="51">
        <f>E48*H48/1000</f>
        <v>3.0336000000000003</v>
      </c>
      <c r="L48" s="48" t="s">
        <v>27</v>
      </c>
      <c r="M48" s="49">
        <f>G48*J48/1000</f>
        <v>1.704</v>
      </c>
      <c r="N48" s="58" t="s">
        <v>1272</v>
      </c>
      <c r="O48" s="59"/>
      <c r="P48" s="60"/>
    </row>
    <row r="49" spans="3:16" ht="15" customHeight="1">
      <c r="C49" s="52" t="s">
        <v>1273</v>
      </c>
      <c r="D49" s="45"/>
      <c r="E49" s="46">
        <v>3326</v>
      </c>
      <c r="F49" s="47" t="s">
        <v>27</v>
      </c>
      <c r="G49" s="50">
        <v>2504</v>
      </c>
      <c r="H49" s="51">
        <v>5.4</v>
      </c>
      <c r="I49" s="48" t="s">
        <v>27</v>
      </c>
      <c r="J49" s="49">
        <v>5.4</v>
      </c>
      <c r="K49" s="51">
        <f>E49*H49/1000</f>
        <v>17.9604</v>
      </c>
      <c r="L49" s="48" t="s">
        <v>27</v>
      </c>
      <c r="M49" s="49">
        <f>G49*J49/1000</f>
        <v>13.521600000000001</v>
      </c>
      <c r="N49" s="58" t="s">
        <v>1274</v>
      </c>
      <c r="O49" s="59"/>
      <c r="P49" s="60"/>
    </row>
    <row r="50" spans="3:16" ht="15" customHeight="1">
      <c r="C50" s="52" t="s">
        <v>1268</v>
      </c>
      <c r="D50" s="45"/>
      <c r="E50" s="46">
        <v>500</v>
      </c>
      <c r="F50" s="47" t="s">
        <v>27</v>
      </c>
      <c r="G50" s="50">
        <v>290</v>
      </c>
      <c r="H50" s="51">
        <v>9.8</v>
      </c>
      <c r="I50" s="48" t="s">
        <v>27</v>
      </c>
      <c r="J50" s="49">
        <v>12.6</v>
      </c>
      <c r="K50" s="51">
        <f>E50*H50/1000</f>
        <v>4.9</v>
      </c>
      <c r="L50" s="48" t="s">
        <v>27</v>
      </c>
      <c r="M50" s="49">
        <f>G50*J50/1000</f>
        <v>3.654</v>
      </c>
      <c r="N50" s="58" t="s">
        <v>1267</v>
      </c>
      <c r="O50" s="59"/>
      <c r="P50" s="60"/>
    </row>
    <row r="51" spans="3:16" ht="15" customHeight="1">
      <c r="C51" s="52" t="s">
        <v>101</v>
      </c>
      <c r="D51" s="45"/>
      <c r="E51" s="46">
        <v>640</v>
      </c>
      <c r="F51" s="47" t="s">
        <v>27</v>
      </c>
      <c r="G51" s="50">
        <v>480</v>
      </c>
      <c r="H51" s="51">
        <v>5.6</v>
      </c>
      <c r="I51" s="48" t="s">
        <v>27</v>
      </c>
      <c r="J51" s="49">
        <v>5.6</v>
      </c>
      <c r="K51" s="51">
        <f>E51*H51/1000</f>
        <v>3.584</v>
      </c>
      <c r="L51" s="48" t="s">
        <v>27</v>
      </c>
      <c r="M51" s="49">
        <f>G51*J51/1000</f>
        <v>2.688</v>
      </c>
      <c r="N51" s="58" t="s">
        <v>98</v>
      </c>
      <c r="O51" s="59"/>
      <c r="P51" s="60"/>
    </row>
    <row r="52" spans="3:11" ht="15" customHeight="1">
      <c r="C52" s="42"/>
      <c r="D52" s="42"/>
      <c r="E52" s="42"/>
      <c r="F52" s="42"/>
      <c r="G52" s="42"/>
      <c r="H52" s="42"/>
      <c r="I52" s="42"/>
      <c r="J52" s="42"/>
      <c r="K52" s="42"/>
    </row>
    <row r="53" spans="3:11" ht="15" customHeight="1">
      <c r="C53" s="42"/>
      <c r="D53" s="42"/>
      <c r="E53" s="42"/>
      <c r="F53" s="42"/>
      <c r="G53" s="42"/>
      <c r="H53" s="42"/>
      <c r="I53" s="42"/>
      <c r="J53" s="42"/>
      <c r="K53" s="42"/>
    </row>
    <row r="54" spans="2:3" ht="15" customHeight="1">
      <c r="B54" s="38"/>
      <c r="C54" s="38" t="s">
        <v>74</v>
      </c>
    </row>
    <row r="56" spans="2:11" ht="44.25" customHeight="1">
      <c r="B56" s="104" t="s">
        <v>49</v>
      </c>
      <c r="C56" s="37" t="s">
        <v>50</v>
      </c>
      <c r="D56" s="37" t="s">
        <v>51</v>
      </c>
      <c r="E56" s="37" t="s">
        <v>52</v>
      </c>
      <c r="F56" s="37" t="s">
        <v>76</v>
      </c>
      <c r="G56" s="37" t="s">
        <v>53</v>
      </c>
      <c r="H56" s="37" t="s">
        <v>54</v>
      </c>
      <c r="I56" s="37" t="s">
        <v>55</v>
      </c>
      <c r="J56" s="37" t="s">
        <v>56</v>
      </c>
      <c r="K56" s="37" t="s">
        <v>57</v>
      </c>
    </row>
    <row r="57" spans="2:16" ht="15" customHeight="1">
      <c r="B57" s="96" t="str">
        <f aca="true" t="shared" si="4" ref="B57:B88">C57&amp;" "&amp;E57&amp;" mm "&amp;D57</f>
        <v>Televue 2.5 mm  Nagler 6</v>
      </c>
      <c r="C57" s="98" t="s">
        <v>64</v>
      </c>
      <c r="D57" s="98" t="s">
        <v>66</v>
      </c>
      <c r="E57" s="103">
        <v>2.5</v>
      </c>
      <c r="F57" s="61">
        <f aca="true" t="shared" si="5" ref="F57:F88">$F$11/E57</f>
        <v>240</v>
      </c>
      <c r="G57" s="106">
        <f aca="true" t="shared" si="6" ref="G57:G88">J57/F57*60</f>
        <v>20.5</v>
      </c>
      <c r="H57" s="98" t="s">
        <v>60</v>
      </c>
      <c r="I57" s="98">
        <v>7</v>
      </c>
      <c r="J57" s="107">
        <v>82</v>
      </c>
      <c r="K57" s="108">
        <v>12</v>
      </c>
      <c r="L57" s="39"/>
      <c r="M57" s="39"/>
      <c r="N57" s="39"/>
      <c r="O57" s="39"/>
      <c r="P57" s="39"/>
    </row>
    <row r="58" spans="2:16" ht="15" customHeight="1">
      <c r="B58" s="96" t="str">
        <f t="shared" si="4"/>
        <v>Televue 3 mm  Radian</v>
      </c>
      <c r="C58" s="98" t="s">
        <v>64</v>
      </c>
      <c r="D58" s="98" t="s">
        <v>65</v>
      </c>
      <c r="E58" s="103">
        <v>3</v>
      </c>
      <c r="F58" s="61">
        <f t="shared" si="5"/>
        <v>200</v>
      </c>
      <c r="G58" s="106">
        <f t="shared" si="6"/>
        <v>18</v>
      </c>
      <c r="H58" s="98" t="s">
        <v>60</v>
      </c>
      <c r="I58" s="98">
        <v>7</v>
      </c>
      <c r="J58" s="107">
        <v>60</v>
      </c>
      <c r="K58" s="108">
        <v>20</v>
      </c>
      <c r="L58" s="39"/>
      <c r="M58" s="39"/>
      <c r="N58" s="39"/>
      <c r="O58" s="39"/>
      <c r="P58" s="39"/>
    </row>
    <row r="59" spans="2:16" ht="15" customHeight="1">
      <c r="B59" s="96" t="str">
        <f t="shared" si="4"/>
        <v>Televue 3.5 mm  Nagler 6</v>
      </c>
      <c r="C59" s="98" t="s">
        <v>64</v>
      </c>
      <c r="D59" s="98" t="s">
        <v>66</v>
      </c>
      <c r="E59" s="103">
        <v>3.5</v>
      </c>
      <c r="F59" s="61">
        <f t="shared" si="5"/>
        <v>171.42857142857142</v>
      </c>
      <c r="G59" s="106">
        <f t="shared" si="6"/>
        <v>28.700000000000003</v>
      </c>
      <c r="H59" s="98" t="s">
        <v>60</v>
      </c>
      <c r="I59" s="98">
        <v>7</v>
      </c>
      <c r="J59" s="107">
        <v>82</v>
      </c>
      <c r="K59" s="108">
        <v>12</v>
      </c>
      <c r="L59" s="39"/>
      <c r="M59" s="39"/>
      <c r="N59" s="39"/>
      <c r="O59" s="39"/>
      <c r="P59" s="39"/>
    </row>
    <row r="60" spans="2:16" ht="15" customHeight="1">
      <c r="B60" s="96" t="str">
        <f t="shared" si="4"/>
        <v>Televue 4 mm  Radian</v>
      </c>
      <c r="C60" s="98" t="s">
        <v>64</v>
      </c>
      <c r="D60" s="98" t="s">
        <v>65</v>
      </c>
      <c r="E60" s="103">
        <v>4</v>
      </c>
      <c r="F60" s="61">
        <f t="shared" si="5"/>
        <v>150</v>
      </c>
      <c r="G60" s="106">
        <f t="shared" si="6"/>
        <v>24</v>
      </c>
      <c r="H60" s="98" t="s">
        <v>60</v>
      </c>
      <c r="I60" s="98">
        <v>7</v>
      </c>
      <c r="J60" s="107">
        <v>60</v>
      </c>
      <c r="K60" s="108">
        <v>20</v>
      </c>
      <c r="L60" s="39"/>
      <c r="M60" s="39"/>
      <c r="N60" s="39"/>
      <c r="O60" s="39"/>
      <c r="P60" s="39"/>
    </row>
    <row r="61" spans="2:16" ht="15" customHeight="1">
      <c r="B61" s="96" t="str">
        <f t="shared" si="4"/>
        <v>Meade 4.7 mm Ultra Wide 4000</v>
      </c>
      <c r="C61" s="98" t="s">
        <v>58</v>
      </c>
      <c r="D61" s="98" t="s">
        <v>62</v>
      </c>
      <c r="E61" s="103">
        <v>4.7</v>
      </c>
      <c r="F61" s="61">
        <f t="shared" si="5"/>
        <v>127.6595744680851</v>
      </c>
      <c r="G61" s="106">
        <f t="shared" si="6"/>
        <v>39.480000000000004</v>
      </c>
      <c r="H61" s="98" t="s">
        <v>60</v>
      </c>
      <c r="I61" s="98">
        <v>8</v>
      </c>
      <c r="J61" s="107">
        <v>84</v>
      </c>
      <c r="K61" s="108">
        <v>7</v>
      </c>
      <c r="L61" s="39"/>
      <c r="M61" s="39"/>
      <c r="N61" s="39"/>
      <c r="O61" s="39"/>
      <c r="P61" s="39"/>
    </row>
    <row r="62" spans="2:16" ht="15" customHeight="1">
      <c r="B62" s="96" t="str">
        <f t="shared" si="4"/>
        <v>Televue 4.8 mm  Nagler</v>
      </c>
      <c r="C62" s="98" t="s">
        <v>64</v>
      </c>
      <c r="D62" s="98" t="s">
        <v>72</v>
      </c>
      <c r="E62" s="103">
        <v>4.8</v>
      </c>
      <c r="F62" s="61">
        <f t="shared" si="5"/>
        <v>125</v>
      </c>
      <c r="G62" s="106">
        <f t="shared" si="6"/>
        <v>39.36</v>
      </c>
      <c r="H62" s="98" t="s">
        <v>60</v>
      </c>
      <c r="I62" s="98">
        <v>7</v>
      </c>
      <c r="J62" s="107">
        <v>82</v>
      </c>
      <c r="K62" s="108">
        <v>7</v>
      </c>
      <c r="L62" s="39"/>
      <c r="M62" s="39"/>
      <c r="N62" s="39"/>
      <c r="O62" s="39"/>
      <c r="P62" s="39"/>
    </row>
    <row r="63" spans="2:16" ht="15" customHeight="1">
      <c r="B63" s="96" t="str">
        <f t="shared" si="4"/>
        <v>Televue 5 mm  Nagler 6</v>
      </c>
      <c r="C63" s="98" t="s">
        <v>64</v>
      </c>
      <c r="D63" s="98" t="s">
        <v>66</v>
      </c>
      <c r="E63" s="103">
        <v>5</v>
      </c>
      <c r="F63" s="61">
        <f t="shared" si="5"/>
        <v>120</v>
      </c>
      <c r="G63" s="106">
        <f t="shared" si="6"/>
        <v>41</v>
      </c>
      <c r="H63" s="98" t="s">
        <v>60</v>
      </c>
      <c r="I63" s="98">
        <v>7</v>
      </c>
      <c r="J63" s="107">
        <v>82</v>
      </c>
      <c r="K63" s="108">
        <v>12</v>
      </c>
      <c r="L63" s="39"/>
      <c r="M63" s="39"/>
      <c r="N63" s="39"/>
      <c r="O63" s="39"/>
      <c r="P63" s="39"/>
    </row>
    <row r="64" spans="2:16" ht="15" customHeight="1">
      <c r="B64" s="96" t="str">
        <f t="shared" si="4"/>
        <v>Televue 5 mm  Radian</v>
      </c>
      <c r="C64" s="98" t="s">
        <v>64</v>
      </c>
      <c r="D64" s="98" t="s">
        <v>65</v>
      </c>
      <c r="E64" s="103">
        <v>5</v>
      </c>
      <c r="F64" s="61">
        <f t="shared" si="5"/>
        <v>120</v>
      </c>
      <c r="G64" s="106">
        <f t="shared" si="6"/>
        <v>30</v>
      </c>
      <c r="H64" s="98" t="s">
        <v>60</v>
      </c>
      <c r="I64" s="98">
        <v>7</v>
      </c>
      <c r="J64" s="107">
        <v>60</v>
      </c>
      <c r="K64" s="108">
        <v>20</v>
      </c>
      <c r="L64" s="39"/>
      <c r="M64" s="39"/>
      <c r="N64" s="39"/>
      <c r="O64" s="39"/>
      <c r="P64" s="39"/>
    </row>
    <row r="65" spans="2:16" ht="15" customHeight="1">
      <c r="B65" s="96" t="str">
        <f t="shared" si="4"/>
        <v>Televue 6 mm  Radian</v>
      </c>
      <c r="C65" s="98" t="s">
        <v>64</v>
      </c>
      <c r="D65" s="98" t="s">
        <v>65</v>
      </c>
      <c r="E65" s="103">
        <v>6</v>
      </c>
      <c r="F65" s="61">
        <f t="shared" si="5"/>
        <v>100</v>
      </c>
      <c r="G65" s="106">
        <f t="shared" si="6"/>
        <v>36</v>
      </c>
      <c r="H65" s="98" t="s">
        <v>60</v>
      </c>
      <c r="I65" s="98">
        <v>7</v>
      </c>
      <c r="J65" s="107">
        <v>60</v>
      </c>
      <c r="K65" s="108">
        <v>20</v>
      </c>
      <c r="L65" s="39"/>
      <c r="M65" s="39"/>
      <c r="N65" s="39"/>
      <c r="O65" s="39"/>
      <c r="P65" s="39"/>
    </row>
    <row r="66" spans="2:16" ht="15" customHeight="1">
      <c r="B66" s="96" t="str">
        <f t="shared" si="4"/>
        <v>Meade 6.4 mm Super Plössl 4000</v>
      </c>
      <c r="C66" s="98" t="s">
        <v>58</v>
      </c>
      <c r="D66" s="98" t="s">
        <v>59</v>
      </c>
      <c r="E66" s="103">
        <v>6.4</v>
      </c>
      <c r="F66" s="61">
        <f t="shared" si="5"/>
        <v>93.75</v>
      </c>
      <c r="G66" s="106">
        <f t="shared" si="6"/>
        <v>33.28</v>
      </c>
      <c r="H66" s="98" t="s">
        <v>60</v>
      </c>
      <c r="I66" s="98">
        <v>4</v>
      </c>
      <c r="J66" s="107">
        <v>52</v>
      </c>
      <c r="K66" s="108">
        <v>3</v>
      </c>
      <c r="L66" s="39"/>
      <c r="M66" s="39"/>
      <c r="N66" s="39"/>
      <c r="O66" s="39"/>
      <c r="P66" s="39"/>
    </row>
    <row r="67" spans="2:16" ht="15" customHeight="1">
      <c r="B67" s="96" t="str">
        <f t="shared" si="4"/>
        <v>Meade 6.7 mm Ultra Wide 4000</v>
      </c>
      <c r="C67" s="98" t="s">
        <v>58</v>
      </c>
      <c r="D67" s="98" t="s">
        <v>62</v>
      </c>
      <c r="E67" s="103">
        <v>6.7</v>
      </c>
      <c r="F67" s="61">
        <f t="shared" si="5"/>
        <v>89.55223880597015</v>
      </c>
      <c r="G67" s="106">
        <f t="shared" si="6"/>
        <v>56.28</v>
      </c>
      <c r="H67" s="98" t="s">
        <v>60</v>
      </c>
      <c r="I67" s="98">
        <v>8</v>
      </c>
      <c r="J67" s="107">
        <v>84</v>
      </c>
      <c r="K67" s="108">
        <v>11</v>
      </c>
      <c r="L67" s="39"/>
      <c r="M67" s="39"/>
      <c r="N67" s="39"/>
      <c r="O67" s="39"/>
      <c r="P67" s="39"/>
    </row>
    <row r="68" spans="2:16" ht="15" customHeight="1">
      <c r="B68" s="96" t="str">
        <f t="shared" si="4"/>
        <v>Televue 7 mm  Nagler</v>
      </c>
      <c r="C68" s="98" t="s">
        <v>64</v>
      </c>
      <c r="D68" s="98" t="s">
        <v>72</v>
      </c>
      <c r="E68" s="103">
        <v>7</v>
      </c>
      <c r="F68" s="61">
        <f t="shared" si="5"/>
        <v>85.71428571428571</v>
      </c>
      <c r="G68" s="106">
        <f t="shared" si="6"/>
        <v>57.400000000000006</v>
      </c>
      <c r="H68" s="98" t="s">
        <v>60</v>
      </c>
      <c r="I68" s="98">
        <v>7</v>
      </c>
      <c r="J68" s="107">
        <v>82</v>
      </c>
      <c r="K68" s="108">
        <v>10</v>
      </c>
      <c r="L68" s="39"/>
      <c r="M68" s="39"/>
      <c r="N68" s="39"/>
      <c r="O68" s="39"/>
      <c r="P68" s="39"/>
    </row>
    <row r="69" spans="2:16" ht="15" customHeight="1">
      <c r="B69" s="96" t="str">
        <f t="shared" si="4"/>
        <v>Televue 7 mm  Nagler 6</v>
      </c>
      <c r="C69" s="98" t="s">
        <v>64</v>
      </c>
      <c r="D69" s="98" t="s">
        <v>66</v>
      </c>
      <c r="E69" s="103">
        <v>7</v>
      </c>
      <c r="F69" s="61">
        <f t="shared" si="5"/>
        <v>85.71428571428571</v>
      </c>
      <c r="G69" s="106">
        <f t="shared" si="6"/>
        <v>57.400000000000006</v>
      </c>
      <c r="H69" s="98" t="s">
        <v>60</v>
      </c>
      <c r="I69" s="98">
        <v>7</v>
      </c>
      <c r="J69" s="107">
        <v>82</v>
      </c>
      <c r="K69" s="108">
        <v>12</v>
      </c>
      <c r="L69" s="39"/>
      <c r="M69" s="39"/>
      <c r="N69" s="39"/>
      <c r="O69" s="39"/>
      <c r="P69" s="39"/>
    </row>
    <row r="70" spans="2:16" ht="15" customHeight="1">
      <c r="B70" s="96" t="str">
        <f t="shared" si="4"/>
        <v>Televue 8 mm  Plössl</v>
      </c>
      <c r="C70" s="98" t="s">
        <v>64</v>
      </c>
      <c r="D70" s="98" t="s">
        <v>67</v>
      </c>
      <c r="E70" s="103">
        <v>8</v>
      </c>
      <c r="F70" s="61">
        <f t="shared" si="5"/>
        <v>75</v>
      </c>
      <c r="G70" s="106">
        <f t="shared" si="6"/>
        <v>40</v>
      </c>
      <c r="H70" s="98" t="s">
        <v>60</v>
      </c>
      <c r="I70" s="98">
        <v>4</v>
      </c>
      <c r="J70" s="107">
        <v>50</v>
      </c>
      <c r="K70" s="108">
        <v>6</v>
      </c>
      <c r="L70" s="39"/>
      <c r="M70" s="39"/>
      <c r="N70" s="39"/>
      <c r="O70" s="39"/>
      <c r="P70" s="39"/>
    </row>
    <row r="71" spans="2:16" ht="15" customHeight="1">
      <c r="B71" s="96" t="str">
        <f t="shared" si="4"/>
        <v>Televue 8 mm  Radian</v>
      </c>
      <c r="C71" s="98" t="s">
        <v>64</v>
      </c>
      <c r="D71" s="98" t="s">
        <v>65</v>
      </c>
      <c r="E71" s="103">
        <v>8</v>
      </c>
      <c r="F71" s="61">
        <f t="shared" si="5"/>
        <v>75</v>
      </c>
      <c r="G71" s="106">
        <f t="shared" si="6"/>
        <v>48</v>
      </c>
      <c r="H71" s="98" t="s">
        <v>60</v>
      </c>
      <c r="I71" s="98">
        <v>6</v>
      </c>
      <c r="J71" s="107">
        <v>60</v>
      </c>
      <c r="K71" s="108">
        <v>20</v>
      </c>
      <c r="L71" s="39"/>
      <c r="M71" s="39"/>
      <c r="N71" s="39"/>
      <c r="O71" s="39"/>
      <c r="P71" s="39"/>
    </row>
    <row r="72" spans="2:16" ht="15" customHeight="1">
      <c r="B72" s="96" t="str">
        <f t="shared" si="4"/>
        <v>UO 9 mm Ortho</v>
      </c>
      <c r="C72" s="98" t="s">
        <v>114</v>
      </c>
      <c r="D72" s="98" t="s">
        <v>115</v>
      </c>
      <c r="E72" s="103">
        <v>9</v>
      </c>
      <c r="F72" s="61">
        <f t="shared" si="5"/>
        <v>66.66666666666667</v>
      </c>
      <c r="G72" s="106">
        <f t="shared" si="6"/>
        <v>40.49999999999999</v>
      </c>
      <c r="H72" s="98" t="s">
        <v>60</v>
      </c>
      <c r="I72" s="98">
        <v>4</v>
      </c>
      <c r="J72" s="107">
        <v>45</v>
      </c>
      <c r="K72" s="108">
        <v>5</v>
      </c>
      <c r="L72" s="39"/>
      <c r="M72" s="39"/>
      <c r="N72" s="39"/>
      <c r="O72" s="39"/>
      <c r="P72" s="39"/>
    </row>
    <row r="73" spans="2:16" ht="15" customHeight="1">
      <c r="B73" s="96" t="str">
        <f t="shared" si="4"/>
        <v>Meade 9 mm SP Reticle</v>
      </c>
      <c r="C73" s="98" t="s">
        <v>58</v>
      </c>
      <c r="D73" s="98" t="s">
        <v>110</v>
      </c>
      <c r="E73" s="103">
        <v>9</v>
      </c>
      <c r="F73" s="61">
        <f t="shared" si="5"/>
        <v>66.66666666666667</v>
      </c>
      <c r="G73" s="106">
        <f t="shared" si="6"/>
        <v>46.8</v>
      </c>
      <c r="H73" s="98" t="s">
        <v>60</v>
      </c>
      <c r="I73" s="98">
        <v>4</v>
      </c>
      <c r="J73" s="107">
        <v>52</v>
      </c>
      <c r="K73" s="108">
        <v>5</v>
      </c>
      <c r="L73" s="39"/>
      <c r="M73" s="39"/>
      <c r="N73" s="39"/>
      <c r="O73" s="39"/>
      <c r="P73" s="39"/>
    </row>
    <row r="74" spans="2:16" ht="15" customHeight="1">
      <c r="B74" s="96" t="str">
        <f t="shared" si="4"/>
        <v>Televue 9 mm  Nagler 6</v>
      </c>
      <c r="C74" s="98" t="s">
        <v>64</v>
      </c>
      <c r="D74" s="98" t="s">
        <v>66</v>
      </c>
      <c r="E74" s="103">
        <v>9</v>
      </c>
      <c r="F74" s="61">
        <f t="shared" si="5"/>
        <v>66.66666666666667</v>
      </c>
      <c r="G74" s="106">
        <f t="shared" si="6"/>
        <v>73.8</v>
      </c>
      <c r="H74" s="98" t="s">
        <v>60</v>
      </c>
      <c r="I74" s="98">
        <v>7</v>
      </c>
      <c r="J74" s="107">
        <v>82</v>
      </c>
      <c r="K74" s="108">
        <v>12</v>
      </c>
      <c r="L74" s="39"/>
      <c r="M74" s="39"/>
      <c r="N74" s="39"/>
      <c r="O74" s="39"/>
      <c r="P74" s="39"/>
    </row>
    <row r="75" spans="2:16" ht="15" customHeight="1">
      <c r="B75" s="96" t="str">
        <f t="shared" si="4"/>
        <v>Meade 9.7 mm Super Plössl 4000</v>
      </c>
      <c r="C75" s="98" t="s">
        <v>58</v>
      </c>
      <c r="D75" s="98" t="s">
        <v>59</v>
      </c>
      <c r="E75" s="103">
        <v>9.7</v>
      </c>
      <c r="F75" s="61">
        <f t="shared" si="5"/>
        <v>61.85567010309279</v>
      </c>
      <c r="G75" s="106">
        <f t="shared" si="6"/>
        <v>50.43999999999999</v>
      </c>
      <c r="H75" s="98" t="s">
        <v>60</v>
      </c>
      <c r="I75" s="98">
        <v>4</v>
      </c>
      <c r="J75" s="107">
        <v>52</v>
      </c>
      <c r="K75" s="108">
        <v>5</v>
      </c>
      <c r="L75" s="39"/>
      <c r="M75" s="39"/>
      <c r="N75" s="39"/>
      <c r="O75" s="39"/>
      <c r="P75" s="39"/>
    </row>
    <row r="76" spans="2:16" ht="15" customHeight="1">
      <c r="B76" s="96" t="str">
        <f t="shared" si="4"/>
        <v>Televue 10 mm  Radian</v>
      </c>
      <c r="C76" s="98" t="s">
        <v>64</v>
      </c>
      <c r="D76" s="98" t="s">
        <v>65</v>
      </c>
      <c r="E76" s="103">
        <v>10</v>
      </c>
      <c r="F76" s="61">
        <f t="shared" si="5"/>
        <v>60</v>
      </c>
      <c r="G76" s="106">
        <f t="shared" si="6"/>
        <v>60</v>
      </c>
      <c r="H76" s="98" t="s">
        <v>60</v>
      </c>
      <c r="I76" s="98">
        <v>6</v>
      </c>
      <c r="J76" s="107">
        <v>60</v>
      </c>
      <c r="K76" s="108">
        <v>20</v>
      </c>
      <c r="L76" s="39"/>
      <c r="M76" s="39"/>
      <c r="N76" s="39"/>
      <c r="O76" s="39"/>
      <c r="P76" s="39"/>
    </row>
    <row r="77" spans="2:16" ht="15" customHeight="1">
      <c r="B77" s="96" t="str">
        <f t="shared" si="4"/>
        <v>Televue 11 mm  Nagler 6</v>
      </c>
      <c r="C77" s="98" t="s">
        <v>64</v>
      </c>
      <c r="D77" s="98" t="s">
        <v>66</v>
      </c>
      <c r="E77" s="103">
        <v>11</v>
      </c>
      <c r="F77" s="61">
        <f t="shared" si="5"/>
        <v>54.54545454545455</v>
      </c>
      <c r="G77" s="106">
        <f t="shared" si="6"/>
        <v>90.19999999999999</v>
      </c>
      <c r="H77" s="98" t="s">
        <v>60</v>
      </c>
      <c r="I77" s="98">
        <v>7</v>
      </c>
      <c r="J77" s="107">
        <v>82</v>
      </c>
      <c r="K77" s="108">
        <v>12</v>
      </c>
      <c r="L77" s="39"/>
      <c r="M77" s="39"/>
      <c r="N77" s="39"/>
      <c r="O77" s="39"/>
      <c r="P77" s="39"/>
    </row>
    <row r="78" spans="2:16" ht="15" customHeight="1">
      <c r="B78" s="96" t="str">
        <f t="shared" si="4"/>
        <v>Televue 11 mm  Plössl</v>
      </c>
      <c r="C78" s="98" t="s">
        <v>64</v>
      </c>
      <c r="D78" s="98" t="s">
        <v>67</v>
      </c>
      <c r="E78" s="103">
        <v>11</v>
      </c>
      <c r="F78" s="61">
        <f t="shared" si="5"/>
        <v>54.54545454545455</v>
      </c>
      <c r="G78" s="106">
        <f t="shared" si="6"/>
        <v>55</v>
      </c>
      <c r="H78" s="98" t="s">
        <v>60</v>
      </c>
      <c r="I78" s="98">
        <v>4</v>
      </c>
      <c r="J78" s="107">
        <v>50</v>
      </c>
      <c r="K78" s="108">
        <v>8</v>
      </c>
      <c r="L78" s="39"/>
      <c r="M78" s="39"/>
      <c r="N78" s="39"/>
      <c r="O78" s="39"/>
      <c r="P78" s="39"/>
    </row>
    <row r="79" spans="2:16" ht="15" customHeight="1">
      <c r="B79" s="96" t="str">
        <f t="shared" si="4"/>
        <v>Televue 12 mm  Nagler 4</v>
      </c>
      <c r="C79" s="98" t="s">
        <v>64</v>
      </c>
      <c r="D79" s="98" t="s">
        <v>68</v>
      </c>
      <c r="E79" s="103">
        <v>12</v>
      </c>
      <c r="F79" s="61">
        <f t="shared" si="5"/>
        <v>50</v>
      </c>
      <c r="G79" s="106">
        <f t="shared" si="6"/>
        <v>98.39999999999999</v>
      </c>
      <c r="H79" s="98" t="s">
        <v>69</v>
      </c>
      <c r="I79" s="98">
        <v>6</v>
      </c>
      <c r="J79" s="107">
        <v>82</v>
      </c>
      <c r="K79" s="108">
        <v>17</v>
      </c>
      <c r="L79" s="39"/>
      <c r="M79" s="39"/>
      <c r="N79" s="39"/>
      <c r="O79" s="39"/>
      <c r="P79" s="39"/>
    </row>
    <row r="80" spans="2:16" ht="15" customHeight="1">
      <c r="B80" s="96" t="str">
        <f t="shared" si="4"/>
        <v>Televue 12 mm  Radian</v>
      </c>
      <c r="C80" s="98" t="s">
        <v>64</v>
      </c>
      <c r="D80" s="98" t="s">
        <v>65</v>
      </c>
      <c r="E80" s="103">
        <v>12</v>
      </c>
      <c r="F80" s="61">
        <f t="shared" si="5"/>
        <v>50</v>
      </c>
      <c r="G80" s="106">
        <f t="shared" si="6"/>
        <v>72</v>
      </c>
      <c r="H80" s="98" t="s">
        <v>60</v>
      </c>
      <c r="I80" s="98">
        <v>6</v>
      </c>
      <c r="J80" s="107">
        <v>60</v>
      </c>
      <c r="K80" s="108">
        <v>20</v>
      </c>
      <c r="L80" s="39"/>
      <c r="M80" s="39"/>
      <c r="N80" s="39"/>
      <c r="O80" s="39"/>
      <c r="P80" s="39"/>
    </row>
    <row r="81" spans="2:16" ht="15" customHeight="1">
      <c r="B81" s="96" t="str">
        <f t="shared" si="4"/>
        <v>Meade 12.4 mm Super Plössl 4000</v>
      </c>
      <c r="C81" s="98" t="s">
        <v>58</v>
      </c>
      <c r="D81" s="98" t="s">
        <v>59</v>
      </c>
      <c r="E81" s="103">
        <v>12.4</v>
      </c>
      <c r="F81" s="61">
        <f t="shared" si="5"/>
        <v>48.387096774193544</v>
      </c>
      <c r="G81" s="106">
        <f t="shared" si="6"/>
        <v>64.48</v>
      </c>
      <c r="H81" s="98" t="s">
        <v>60</v>
      </c>
      <c r="I81" s="98">
        <v>4</v>
      </c>
      <c r="J81" s="107">
        <v>52</v>
      </c>
      <c r="K81" s="108">
        <v>7</v>
      </c>
      <c r="L81" s="39"/>
      <c r="M81" s="39"/>
      <c r="N81" s="39"/>
      <c r="O81" s="39"/>
      <c r="P81" s="39"/>
    </row>
    <row r="82" spans="2:16" ht="15" customHeight="1">
      <c r="B82" s="96" t="str">
        <f t="shared" si="4"/>
        <v>Televue 13 mm  Nagler 6</v>
      </c>
      <c r="C82" s="98" t="s">
        <v>64</v>
      </c>
      <c r="D82" s="98" t="s">
        <v>66</v>
      </c>
      <c r="E82" s="103">
        <v>13</v>
      </c>
      <c r="F82" s="61">
        <f t="shared" si="5"/>
        <v>46.15384615384615</v>
      </c>
      <c r="G82" s="106">
        <f t="shared" si="6"/>
        <v>106.6</v>
      </c>
      <c r="H82" s="98" t="s">
        <v>60</v>
      </c>
      <c r="I82" s="98">
        <v>7</v>
      </c>
      <c r="J82" s="107">
        <v>82</v>
      </c>
      <c r="K82" s="108">
        <v>12</v>
      </c>
      <c r="L82" s="39"/>
      <c r="M82" s="39"/>
      <c r="N82" s="39"/>
      <c r="O82" s="39"/>
      <c r="P82" s="39"/>
    </row>
    <row r="83" spans="2:16" ht="15" customHeight="1">
      <c r="B83" s="96" t="str">
        <f t="shared" si="4"/>
        <v>Meade 13.8 mm Super Wide 4000</v>
      </c>
      <c r="C83" s="98" t="s">
        <v>58</v>
      </c>
      <c r="D83" s="98" t="s">
        <v>61</v>
      </c>
      <c r="E83" s="103">
        <v>13.8</v>
      </c>
      <c r="F83" s="61">
        <f t="shared" si="5"/>
        <v>43.47826086956522</v>
      </c>
      <c r="G83" s="106">
        <f t="shared" si="6"/>
        <v>92.46</v>
      </c>
      <c r="H83" s="98" t="s">
        <v>60</v>
      </c>
      <c r="I83" s="98">
        <v>6</v>
      </c>
      <c r="J83" s="107">
        <v>67</v>
      </c>
      <c r="K83" s="108">
        <v>10</v>
      </c>
      <c r="L83" s="39"/>
      <c r="M83" s="39"/>
      <c r="N83" s="39"/>
      <c r="O83" s="39"/>
      <c r="P83" s="39"/>
    </row>
    <row r="84" spans="2:16" ht="15" customHeight="1">
      <c r="B84" s="96" t="str">
        <f t="shared" si="4"/>
        <v>Televue 14 mm  Radian</v>
      </c>
      <c r="C84" s="98" t="s">
        <v>64</v>
      </c>
      <c r="D84" s="98" t="s">
        <v>65</v>
      </c>
      <c r="E84" s="103">
        <v>14</v>
      </c>
      <c r="F84" s="61">
        <f t="shared" si="5"/>
        <v>42.857142857142854</v>
      </c>
      <c r="G84" s="106">
        <f t="shared" si="6"/>
        <v>84.00000000000001</v>
      </c>
      <c r="H84" s="98" t="s">
        <v>60</v>
      </c>
      <c r="I84" s="98">
        <v>6</v>
      </c>
      <c r="J84" s="107">
        <v>60</v>
      </c>
      <c r="K84" s="108">
        <v>20</v>
      </c>
      <c r="L84" s="39"/>
      <c r="M84" s="39"/>
      <c r="N84" s="39"/>
      <c r="O84" s="39"/>
      <c r="P84" s="39"/>
    </row>
    <row r="85" spans="2:16" ht="15" customHeight="1">
      <c r="B85" s="96" t="str">
        <f t="shared" si="4"/>
        <v>Meade 15 mm Super Plössl 4000</v>
      </c>
      <c r="C85" s="98" t="s">
        <v>58</v>
      </c>
      <c r="D85" s="98" t="s">
        <v>59</v>
      </c>
      <c r="E85" s="103">
        <v>15</v>
      </c>
      <c r="F85" s="61">
        <f t="shared" si="5"/>
        <v>40</v>
      </c>
      <c r="G85" s="106">
        <f t="shared" si="6"/>
        <v>78</v>
      </c>
      <c r="H85" s="98" t="s">
        <v>60</v>
      </c>
      <c r="I85" s="98">
        <v>4</v>
      </c>
      <c r="J85" s="107">
        <v>52</v>
      </c>
      <c r="K85" s="108">
        <v>9</v>
      </c>
      <c r="L85" s="39"/>
      <c r="M85" s="39"/>
      <c r="N85" s="39"/>
      <c r="O85" s="39"/>
      <c r="P85" s="39"/>
    </row>
    <row r="86" spans="2:16" ht="15" customHeight="1">
      <c r="B86" s="96" t="str">
        <f t="shared" si="4"/>
        <v>Televue 15 mm  Panoptic</v>
      </c>
      <c r="C86" s="98" t="s">
        <v>64</v>
      </c>
      <c r="D86" s="98" t="s">
        <v>70</v>
      </c>
      <c r="E86" s="103">
        <v>15</v>
      </c>
      <c r="F86" s="61">
        <f t="shared" si="5"/>
        <v>40</v>
      </c>
      <c r="G86" s="106">
        <f t="shared" si="6"/>
        <v>102</v>
      </c>
      <c r="H86" s="98" t="s">
        <v>60</v>
      </c>
      <c r="I86" s="98">
        <v>6</v>
      </c>
      <c r="J86" s="107">
        <v>68</v>
      </c>
      <c r="K86" s="108">
        <v>10</v>
      </c>
      <c r="L86" s="39"/>
      <c r="M86" s="39"/>
      <c r="N86" s="39"/>
      <c r="O86" s="39"/>
      <c r="P86" s="39"/>
    </row>
    <row r="87" spans="2:16" ht="15" customHeight="1">
      <c r="B87" s="96" t="str">
        <f t="shared" si="4"/>
        <v>Televue 15 mm  Plössl</v>
      </c>
      <c r="C87" s="98" t="s">
        <v>64</v>
      </c>
      <c r="D87" s="98" t="s">
        <v>67</v>
      </c>
      <c r="E87" s="103">
        <v>15</v>
      </c>
      <c r="F87" s="61">
        <f t="shared" si="5"/>
        <v>40</v>
      </c>
      <c r="G87" s="106">
        <f t="shared" si="6"/>
        <v>75</v>
      </c>
      <c r="H87" s="98" t="s">
        <v>60</v>
      </c>
      <c r="I87" s="98">
        <v>4</v>
      </c>
      <c r="J87" s="107">
        <v>50</v>
      </c>
      <c r="K87" s="108">
        <v>10</v>
      </c>
      <c r="L87" s="39"/>
      <c r="M87" s="39"/>
      <c r="N87" s="39"/>
      <c r="O87" s="39"/>
      <c r="P87" s="39"/>
    </row>
    <row r="88" spans="2:16" ht="15" customHeight="1">
      <c r="B88" s="96" t="str">
        <f t="shared" si="4"/>
        <v>Televue 16 mm  Nagler 5</v>
      </c>
      <c r="C88" s="98" t="s">
        <v>64</v>
      </c>
      <c r="D88" s="98" t="s">
        <v>71</v>
      </c>
      <c r="E88" s="103">
        <v>16</v>
      </c>
      <c r="F88" s="61">
        <f t="shared" si="5"/>
        <v>37.5</v>
      </c>
      <c r="G88" s="106">
        <f t="shared" si="6"/>
        <v>131.2</v>
      </c>
      <c r="H88" s="98" t="s">
        <v>60</v>
      </c>
      <c r="I88" s="98">
        <v>6</v>
      </c>
      <c r="J88" s="107">
        <v>82</v>
      </c>
      <c r="K88" s="108">
        <v>10</v>
      </c>
      <c r="L88" s="39"/>
      <c r="M88" s="39"/>
      <c r="N88" s="39"/>
      <c r="O88" s="39"/>
      <c r="P88" s="39"/>
    </row>
    <row r="89" spans="2:16" ht="15" customHeight="1">
      <c r="B89" s="96" t="str">
        <f aca="true" t="shared" si="7" ref="B89:B112">C89&amp;" "&amp;E89&amp;" mm "&amp;D89</f>
        <v>Televue 17 mm  Nagler 4</v>
      </c>
      <c r="C89" s="98" t="s">
        <v>64</v>
      </c>
      <c r="D89" s="98" t="s">
        <v>68</v>
      </c>
      <c r="E89" s="103">
        <v>17</v>
      </c>
      <c r="F89" s="61">
        <f aca="true" t="shared" si="8" ref="F89:F112">$F$11/E89</f>
        <v>35.294117647058826</v>
      </c>
      <c r="G89" s="106">
        <f aca="true" t="shared" si="9" ref="G89:G112">J89/F89*60</f>
        <v>139.4</v>
      </c>
      <c r="H89" s="98" t="s">
        <v>63</v>
      </c>
      <c r="I89" s="98">
        <v>7</v>
      </c>
      <c r="J89" s="107">
        <v>82</v>
      </c>
      <c r="K89" s="108">
        <v>17</v>
      </c>
      <c r="L89" s="39"/>
      <c r="M89" s="39"/>
      <c r="N89" s="39"/>
      <c r="O89" s="39"/>
      <c r="P89" s="39"/>
    </row>
    <row r="90" spans="2:16" ht="15" customHeight="1">
      <c r="B90" s="96" t="str">
        <f t="shared" si="7"/>
        <v>Meade 18 mm Super Wide 4000</v>
      </c>
      <c r="C90" s="98" t="s">
        <v>58</v>
      </c>
      <c r="D90" s="98" t="s">
        <v>61</v>
      </c>
      <c r="E90" s="103">
        <v>18</v>
      </c>
      <c r="F90" s="61">
        <f t="shared" si="8"/>
        <v>33.333333333333336</v>
      </c>
      <c r="G90" s="106">
        <f t="shared" si="9"/>
        <v>120.6</v>
      </c>
      <c r="H90" s="98" t="s">
        <v>60</v>
      </c>
      <c r="I90" s="98">
        <v>6</v>
      </c>
      <c r="J90" s="107">
        <v>67</v>
      </c>
      <c r="K90" s="108">
        <v>14</v>
      </c>
      <c r="L90" s="39"/>
      <c r="M90" s="39"/>
      <c r="N90" s="39"/>
      <c r="O90" s="39"/>
      <c r="P90" s="39"/>
    </row>
    <row r="91" spans="2:16" ht="15" customHeight="1">
      <c r="B91" s="96" t="str">
        <f t="shared" si="7"/>
        <v>Televue 18 mm  Radian</v>
      </c>
      <c r="C91" s="98" t="s">
        <v>64</v>
      </c>
      <c r="D91" s="98" t="s">
        <v>65</v>
      </c>
      <c r="E91" s="103">
        <v>18</v>
      </c>
      <c r="F91" s="61">
        <f t="shared" si="8"/>
        <v>33.333333333333336</v>
      </c>
      <c r="G91" s="106">
        <f t="shared" si="9"/>
        <v>107.99999999999999</v>
      </c>
      <c r="H91" s="98" t="s">
        <v>60</v>
      </c>
      <c r="I91" s="98">
        <v>6</v>
      </c>
      <c r="J91" s="107">
        <v>60</v>
      </c>
      <c r="K91" s="108">
        <v>20</v>
      </c>
      <c r="L91" s="39"/>
      <c r="M91" s="39"/>
      <c r="N91" s="39"/>
      <c r="O91" s="39"/>
      <c r="P91" s="39"/>
    </row>
    <row r="92" spans="2:16" ht="15" customHeight="1">
      <c r="B92" s="96" t="str">
        <f t="shared" si="7"/>
        <v>Televue 19 mm  Panoptic</v>
      </c>
      <c r="C92" s="98" t="s">
        <v>64</v>
      </c>
      <c r="D92" s="98" t="s">
        <v>70</v>
      </c>
      <c r="E92" s="103">
        <v>19</v>
      </c>
      <c r="F92" s="61">
        <f t="shared" si="8"/>
        <v>31.57894736842105</v>
      </c>
      <c r="G92" s="106">
        <f t="shared" si="9"/>
        <v>129.2</v>
      </c>
      <c r="H92" s="98" t="s">
        <v>60</v>
      </c>
      <c r="I92" s="98">
        <v>6</v>
      </c>
      <c r="J92" s="107">
        <v>68</v>
      </c>
      <c r="K92" s="108">
        <v>13</v>
      </c>
      <c r="L92" s="39"/>
      <c r="M92" s="39"/>
      <c r="N92" s="39"/>
      <c r="O92" s="39"/>
      <c r="P92" s="39"/>
    </row>
    <row r="93" spans="2:16" ht="15" customHeight="1">
      <c r="B93" s="96" t="str">
        <f t="shared" si="7"/>
        <v>Meade 20 mm Super Plössl 4000</v>
      </c>
      <c r="C93" s="98" t="s">
        <v>58</v>
      </c>
      <c r="D93" s="98" t="s">
        <v>59</v>
      </c>
      <c r="E93" s="103">
        <v>20</v>
      </c>
      <c r="F93" s="61">
        <f t="shared" si="8"/>
        <v>30</v>
      </c>
      <c r="G93" s="106">
        <f t="shared" si="9"/>
        <v>104</v>
      </c>
      <c r="H93" s="98" t="s">
        <v>60</v>
      </c>
      <c r="I93" s="98">
        <v>4</v>
      </c>
      <c r="J93" s="107">
        <v>52</v>
      </c>
      <c r="K93" s="108">
        <v>13</v>
      </c>
      <c r="L93" s="39"/>
      <c r="M93" s="39"/>
      <c r="N93" s="39"/>
      <c r="O93" s="39"/>
      <c r="P93" s="39"/>
    </row>
    <row r="94" spans="2:16" ht="15" customHeight="1">
      <c r="B94" s="96" t="str">
        <f t="shared" si="7"/>
        <v>Televue 20 mm  Nagler 5</v>
      </c>
      <c r="C94" s="98" t="s">
        <v>64</v>
      </c>
      <c r="D94" s="98" t="s">
        <v>71</v>
      </c>
      <c r="E94" s="103">
        <v>20</v>
      </c>
      <c r="F94" s="61">
        <f t="shared" si="8"/>
        <v>30</v>
      </c>
      <c r="G94" s="106">
        <f t="shared" si="9"/>
        <v>164</v>
      </c>
      <c r="H94" s="98" t="s">
        <v>63</v>
      </c>
      <c r="I94" s="98">
        <v>6</v>
      </c>
      <c r="J94" s="107">
        <v>82</v>
      </c>
      <c r="K94" s="108">
        <v>12</v>
      </c>
      <c r="L94" s="39"/>
      <c r="M94" s="39"/>
      <c r="N94" s="39"/>
      <c r="O94" s="39"/>
      <c r="P94" s="39"/>
    </row>
    <row r="95" spans="2:16" ht="15" customHeight="1">
      <c r="B95" s="96" t="str">
        <f t="shared" si="7"/>
        <v>Televue 20 mm  Plössl</v>
      </c>
      <c r="C95" s="98" t="s">
        <v>64</v>
      </c>
      <c r="D95" s="98" t="s">
        <v>67</v>
      </c>
      <c r="E95" s="103">
        <v>20</v>
      </c>
      <c r="F95" s="61">
        <f t="shared" si="8"/>
        <v>30</v>
      </c>
      <c r="G95" s="106">
        <f t="shared" si="9"/>
        <v>100</v>
      </c>
      <c r="H95" s="98" t="s">
        <v>60</v>
      </c>
      <c r="I95" s="98">
        <v>4</v>
      </c>
      <c r="J95" s="107">
        <v>50</v>
      </c>
      <c r="K95" s="108">
        <v>14</v>
      </c>
      <c r="L95" s="39"/>
      <c r="M95" s="39"/>
      <c r="N95" s="39"/>
      <c r="O95" s="39"/>
      <c r="P95" s="39"/>
    </row>
    <row r="96" spans="2:16" ht="15" customHeight="1">
      <c r="B96" s="96" t="str">
        <f t="shared" si="7"/>
        <v>Televue 22 mm  Nagler 4</v>
      </c>
      <c r="C96" s="98" t="s">
        <v>64</v>
      </c>
      <c r="D96" s="98" t="s">
        <v>68</v>
      </c>
      <c r="E96" s="103">
        <v>22</v>
      </c>
      <c r="F96" s="61">
        <f t="shared" si="8"/>
        <v>27.272727272727273</v>
      </c>
      <c r="G96" s="106">
        <f t="shared" si="9"/>
        <v>180.39999999999998</v>
      </c>
      <c r="H96" s="98" t="s">
        <v>63</v>
      </c>
      <c r="I96" s="98">
        <v>7</v>
      </c>
      <c r="J96" s="107">
        <v>82</v>
      </c>
      <c r="K96" s="108">
        <v>19</v>
      </c>
      <c r="L96" s="39"/>
      <c r="M96" s="39"/>
      <c r="N96" s="39"/>
      <c r="O96" s="39"/>
      <c r="P96" s="39"/>
    </row>
    <row r="97" spans="2:16" ht="15" customHeight="1">
      <c r="B97" s="96" t="str">
        <f t="shared" si="7"/>
        <v>Televue 22 mm  Panoptic</v>
      </c>
      <c r="C97" s="98" t="s">
        <v>64</v>
      </c>
      <c r="D97" s="98" t="s">
        <v>70</v>
      </c>
      <c r="E97" s="103">
        <v>22</v>
      </c>
      <c r="F97" s="61">
        <f t="shared" si="8"/>
        <v>27.272727272727273</v>
      </c>
      <c r="G97" s="106">
        <f t="shared" si="9"/>
        <v>149.6</v>
      </c>
      <c r="H97" s="98" t="s">
        <v>69</v>
      </c>
      <c r="I97" s="98">
        <v>6</v>
      </c>
      <c r="J97" s="107">
        <v>68</v>
      </c>
      <c r="K97" s="108">
        <v>15</v>
      </c>
      <c r="L97" s="39"/>
      <c r="M97" s="39"/>
      <c r="N97" s="39"/>
      <c r="O97" s="39"/>
      <c r="P97" s="39"/>
    </row>
    <row r="98" spans="2:16" ht="15" customHeight="1">
      <c r="B98" s="96" t="str">
        <f t="shared" si="7"/>
        <v>Televue 24 mm  Panoptic</v>
      </c>
      <c r="C98" s="98" t="s">
        <v>64</v>
      </c>
      <c r="D98" s="98" t="s">
        <v>70</v>
      </c>
      <c r="E98" s="103">
        <v>24</v>
      </c>
      <c r="F98" s="61">
        <f t="shared" si="8"/>
        <v>25</v>
      </c>
      <c r="G98" s="106">
        <f t="shared" si="9"/>
        <v>163.20000000000002</v>
      </c>
      <c r="H98" s="98" t="s">
        <v>60</v>
      </c>
      <c r="I98" s="98">
        <v>6</v>
      </c>
      <c r="J98" s="107">
        <v>68</v>
      </c>
      <c r="K98" s="108">
        <v>15</v>
      </c>
      <c r="L98" s="39"/>
      <c r="M98" s="39"/>
      <c r="N98" s="39"/>
      <c r="O98" s="39"/>
      <c r="P98" s="39"/>
    </row>
    <row r="99" spans="2:11" ht="15" customHeight="1">
      <c r="B99" s="96" t="str">
        <f t="shared" si="7"/>
        <v>Meade 24.5 mm Super Wide 4000</v>
      </c>
      <c r="C99" s="98" t="s">
        <v>58</v>
      </c>
      <c r="D99" s="98" t="s">
        <v>61</v>
      </c>
      <c r="E99" s="103">
        <v>24.5</v>
      </c>
      <c r="F99" s="61">
        <f t="shared" si="8"/>
        <v>24.489795918367346</v>
      </c>
      <c r="G99" s="106">
        <f t="shared" si="9"/>
        <v>164.15</v>
      </c>
      <c r="H99" s="98" t="s">
        <v>60</v>
      </c>
      <c r="I99" s="98">
        <v>6</v>
      </c>
      <c r="J99" s="107">
        <v>67</v>
      </c>
      <c r="K99" s="108">
        <v>19</v>
      </c>
    </row>
    <row r="100" spans="2:11" ht="15" customHeight="1">
      <c r="B100" s="96" t="str">
        <f t="shared" si="7"/>
        <v>Televue 25 mm  Plössl</v>
      </c>
      <c r="C100" s="98" t="s">
        <v>64</v>
      </c>
      <c r="D100" s="98" t="s">
        <v>67</v>
      </c>
      <c r="E100" s="103">
        <v>25</v>
      </c>
      <c r="F100" s="61">
        <f t="shared" si="8"/>
        <v>24</v>
      </c>
      <c r="G100" s="106">
        <f t="shared" si="9"/>
        <v>125.00000000000001</v>
      </c>
      <c r="H100" s="98" t="s">
        <v>60</v>
      </c>
      <c r="I100" s="98">
        <v>4</v>
      </c>
      <c r="J100" s="107">
        <v>50</v>
      </c>
      <c r="K100" s="108">
        <v>17</v>
      </c>
    </row>
    <row r="101" spans="2:11" ht="15" customHeight="1">
      <c r="B101" s="96" t="str">
        <f t="shared" si="7"/>
        <v>Meade 26 mm Super Plössl 4000</v>
      </c>
      <c r="C101" s="98" t="s">
        <v>58</v>
      </c>
      <c r="D101" s="98" t="s">
        <v>59</v>
      </c>
      <c r="E101" s="103">
        <v>26</v>
      </c>
      <c r="F101" s="61">
        <f t="shared" si="8"/>
        <v>23.076923076923077</v>
      </c>
      <c r="G101" s="106">
        <f t="shared" si="9"/>
        <v>135.20000000000002</v>
      </c>
      <c r="H101" s="98" t="s">
        <v>60</v>
      </c>
      <c r="I101" s="98">
        <v>4</v>
      </c>
      <c r="J101" s="107">
        <v>52</v>
      </c>
      <c r="K101" s="108">
        <v>18</v>
      </c>
    </row>
    <row r="102" spans="2:11" ht="15" customHeight="1">
      <c r="B102" s="96" t="str">
        <f t="shared" si="7"/>
        <v>Televue 26 mm  Nagler 5</v>
      </c>
      <c r="C102" s="98" t="s">
        <v>64</v>
      </c>
      <c r="D102" s="98" t="s">
        <v>71</v>
      </c>
      <c r="E102" s="103">
        <v>26</v>
      </c>
      <c r="F102" s="61">
        <f t="shared" si="8"/>
        <v>23.076923076923077</v>
      </c>
      <c r="G102" s="106">
        <f t="shared" si="9"/>
        <v>213.2</v>
      </c>
      <c r="H102" s="98" t="s">
        <v>63</v>
      </c>
      <c r="I102" s="98">
        <v>6</v>
      </c>
      <c r="J102" s="107">
        <v>82</v>
      </c>
      <c r="K102" s="108">
        <v>16</v>
      </c>
    </row>
    <row r="103" spans="2:11" ht="15" customHeight="1">
      <c r="B103" s="96" t="str">
        <f t="shared" si="7"/>
        <v>Televue 27 mm  Panoptic</v>
      </c>
      <c r="C103" s="98" t="s">
        <v>64</v>
      </c>
      <c r="D103" s="98" t="s">
        <v>70</v>
      </c>
      <c r="E103" s="103">
        <v>27</v>
      </c>
      <c r="F103" s="61">
        <f t="shared" si="8"/>
        <v>22.22222222222222</v>
      </c>
      <c r="G103" s="106">
        <f t="shared" si="9"/>
        <v>183.6</v>
      </c>
      <c r="H103" s="98" t="s">
        <v>63</v>
      </c>
      <c r="I103" s="98">
        <v>6</v>
      </c>
      <c r="J103" s="107">
        <v>68</v>
      </c>
      <c r="K103" s="108">
        <v>19</v>
      </c>
    </row>
    <row r="104" spans="2:11" ht="15" customHeight="1">
      <c r="B104" s="96" t="str">
        <f t="shared" si="7"/>
        <v>Televue 31 mm  Nagler 5</v>
      </c>
      <c r="C104" s="98" t="s">
        <v>64</v>
      </c>
      <c r="D104" s="98" t="s">
        <v>71</v>
      </c>
      <c r="E104" s="103">
        <v>31</v>
      </c>
      <c r="F104" s="61">
        <f t="shared" si="8"/>
        <v>19.35483870967742</v>
      </c>
      <c r="G104" s="106">
        <f t="shared" si="9"/>
        <v>254.2</v>
      </c>
      <c r="H104" s="98" t="s">
        <v>63</v>
      </c>
      <c r="I104" s="98">
        <v>6</v>
      </c>
      <c r="J104" s="107">
        <v>82</v>
      </c>
      <c r="K104" s="108">
        <v>19</v>
      </c>
    </row>
    <row r="105" spans="2:11" ht="15" customHeight="1">
      <c r="B105" s="96" t="str">
        <f t="shared" si="7"/>
        <v>Meade 32 mm Super Plössl 4000</v>
      </c>
      <c r="C105" s="98" t="s">
        <v>58</v>
      </c>
      <c r="D105" s="98" t="s">
        <v>59</v>
      </c>
      <c r="E105" s="103">
        <v>32</v>
      </c>
      <c r="F105" s="61">
        <f t="shared" si="8"/>
        <v>18.75</v>
      </c>
      <c r="G105" s="106">
        <f t="shared" si="9"/>
        <v>166.4</v>
      </c>
      <c r="H105" s="98" t="s">
        <v>60</v>
      </c>
      <c r="I105" s="98">
        <v>4</v>
      </c>
      <c r="J105" s="107">
        <v>52</v>
      </c>
      <c r="K105" s="108">
        <v>20</v>
      </c>
    </row>
    <row r="106" spans="2:11" ht="15" customHeight="1">
      <c r="B106" s="96" t="str">
        <f t="shared" si="7"/>
        <v>Televue 32 mm  Plössl</v>
      </c>
      <c r="C106" s="98" t="s">
        <v>64</v>
      </c>
      <c r="D106" s="98" t="s">
        <v>67</v>
      </c>
      <c r="E106" s="103">
        <v>32</v>
      </c>
      <c r="F106" s="61">
        <f t="shared" si="8"/>
        <v>18.75</v>
      </c>
      <c r="G106" s="106">
        <f t="shared" si="9"/>
        <v>160</v>
      </c>
      <c r="H106" s="98" t="s">
        <v>60</v>
      </c>
      <c r="I106" s="98">
        <v>4</v>
      </c>
      <c r="J106" s="107">
        <v>50</v>
      </c>
      <c r="K106" s="108">
        <v>22</v>
      </c>
    </row>
    <row r="107" spans="2:11" ht="15" customHeight="1">
      <c r="B107" s="96" t="str">
        <f t="shared" si="7"/>
        <v>Televue 35 mm  Panoptic</v>
      </c>
      <c r="C107" s="98" t="s">
        <v>64</v>
      </c>
      <c r="D107" s="98" t="s">
        <v>70</v>
      </c>
      <c r="E107" s="103">
        <v>35</v>
      </c>
      <c r="F107" s="61">
        <f t="shared" si="8"/>
        <v>17.142857142857142</v>
      </c>
      <c r="G107" s="106">
        <f t="shared" si="9"/>
        <v>238</v>
      </c>
      <c r="H107" s="98" t="s">
        <v>63</v>
      </c>
      <c r="I107" s="98">
        <v>6</v>
      </c>
      <c r="J107" s="107">
        <v>68</v>
      </c>
      <c r="K107" s="108">
        <v>24</v>
      </c>
    </row>
    <row r="108" spans="2:11" ht="15" customHeight="1">
      <c r="B108" s="96" t="str">
        <f t="shared" si="7"/>
        <v>Meade 40 mm Super Plössl 4000</v>
      </c>
      <c r="C108" s="98" t="s">
        <v>58</v>
      </c>
      <c r="D108" s="98" t="s">
        <v>59</v>
      </c>
      <c r="E108" s="103">
        <v>40</v>
      </c>
      <c r="F108" s="61">
        <f t="shared" si="8"/>
        <v>15</v>
      </c>
      <c r="G108" s="106">
        <f t="shared" si="9"/>
        <v>176</v>
      </c>
      <c r="H108" s="98" t="s">
        <v>60</v>
      </c>
      <c r="I108" s="98">
        <v>4</v>
      </c>
      <c r="J108" s="107">
        <v>44</v>
      </c>
      <c r="K108" s="108">
        <v>30</v>
      </c>
    </row>
    <row r="109" spans="2:11" ht="15" customHeight="1">
      <c r="B109" s="96" t="str">
        <f t="shared" si="7"/>
        <v>Televue 40 mm  Plössl</v>
      </c>
      <c r="C109" s="98" t="s">
        <v>64</v>
      </c>
      <c r="D109" s="98" t="s">
        <v>67</v>
      </c>
      <c r="E109" s="103">
        <v>40</v>
      </c>
      <c r="F109" s="61">
        <f t="shared" si="8"/>
        <v>15</v>
      </c>
      <c r="G109" s="106">
        <f t="shared" si="9"/>
        <v>172</v>
      </c>
      <c r="H109" s="98" t="s">
        <v>60</v>
      </c>
      <c r="I109" s="98">
        <v>4</v>
      </c>
      <c r="J109" s="107">
        <v>43</v>
      </c>
      <c r="K109" s="108">
        <v>28</v>
      </c>
    </row>
    <row r="110" spans="2:11" ht="15" customHeight="1">
      <c r="B110" s="96" t="str">
        <f t="shared" si="7"/>
        <v>Televue 41 mm  Panoptic</v>
      </c>
      <c r="C110" s="98" t="s">
        <v>64</v>
      </c>
      <c r="D110" s="98" t="s">
        <v>70</v>
      </c>
      <c r="E110" s="103">
        <v>41</v>
      </c>
      <c r="F110" s="61">
        <f t="shared" si="8"/>
        <v>14.634146341463415</v>
      </c>
      <c r="G110" s="106">
        <f t="shared" si="9"/>
        <v>278.8</v>
      </c>
      <c r="H110" s="98" t="s">
        <v>63</v>
      </c>
      <c r="I110" s="98">
        <v>6</v>
      </c>
      <c r="J110" s="107">
        <v>68</v>
      </c>
      <c r="K110" s="108">
        <v>27</v>
      </c>
    </row>
    <row r="111" spans="2:11" ht="15" customHeight="1">
      <c r="B111" s="96" t="str">
        <f t="shared" si="7"/>
        <v>Televue 55 mm  Plössl</v>
      </c>
      <c r="C111" s="98" t="s">
        <v>64</v>
      </c>
      <c r="D111" s="98" t="s">
        <v>67</v>
      </c>
      <c r="E111" s="103">
        <v>55</v>
      </c>
      <c r="F111" s="61">
        <f t="shared" si="8"/>
        <v>10.909090909090908</v>
      </c>
      <c r="G111" s="106">
        <f t="shared" si="9"/>
        <v>275.00000000000006</v>
      </c>
      <c r="H111" s="98" t="s">
        <v>63</v>
      </c>
      <c r="I111" s="98">
        <v>4</v>
      </c>
      <c r="J111" s="107">
        <v>50</v>
      </c>
      <c r="K111" s="108">
        <v>38</v>
      </c>
    </row>
    <row r="112" spans="2:11" ht="15" customHeight="1">
      <c r="B112" s="96" t="str">
        <f t="shared" si="7"/>
        <v>Meade 56 mm Super Plössl 4000</v>
      </c>
      <c r="C112" s="98" t="s">
        <v>58</v>
      </c>
      <c r="D112" s="98" t="s">
        <v>59</v>
      </c>
      <c r="E112" s="103">
        <v>56</v>
      </c>
      <c r="F112" s="61">
        <f t="shared" si="8"/>
        <v>10.714285714285714</v>
      </c>
      <c r="G112" s="106">
        <f t="shared" si="9"/>
        <v>291.2</v>
      </c>
      <c r="H112" s="98" t="s">
        <v>63</v>
      </c>
      <c r="I112" s="98">
        <v>4</v>
      </c>
      <c r="J112" s="107">
        <v>52</v>
      </c>
      <c r="K112" s="108">
        <v>47</v>
      </c>
    </row>
  </sheetData>
  <mergeCells count="4">
    <mergeCell ref="E4:H4"/>
    <mergeCell ref="E3:H3"/>
    <mergeCell ref="E5:H5"/>
    <mergeCell ref="E2:H2"/>
  </mergeCells>
  <conditionalFormatting sqref="F14">
    <cfRule type="cellIs" priority="1" dxfId="0" operator="greaterThan" stopIfTrue="1">
      <formula>300</formula>
    </cfRule>
  </conditionalFormatting>
  <conditionalFormatting sqref="H14">
    <cfRule type="cellIs" priority="2" dxfId="0" operator="notBetween" stopIfTrue="1">
      <formula>0.5</formula>
      <formula>7</formula>
    </cfRule>
  </conditionalFormatting>
  <dataValidations count="4">
    <dataValidation type="list" allowBlank="1" showInputMessage="1" showErrorMessage="1" sqref="E4:H4">
      <formula1>ExtendNames</formula1>
    </dataValidation>
    <dataValidation type="list" allowBlank="1" showInputMessage="1" showErrorMessage="1" sqref="E3:H3">
      <formula1>TelescopeNames</formula1>
    </dataValidation>
    <dataValidation type="list" allowBlank="1" showInputMessage="1" showErrorMessage="1" sqref="E5:H5">
      <formula1>CameraNames</formula1>
    </dataValidation>
    <dataValidation type="list" allowBlank="1" showInputMessage="1" showErrorMessage="1" sqref="E2">
      <formula1>CatalogNames</formula1>
    </dataValidation>
  </dataValidation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I993"/>
  <sheetViews>
    <sheetView showGridLines="0" workbookViewId="0" topLeftCell="A1">
      <pane ySplit="3" topLeftCell="BM113" activePane="bottomLeft" state="frozen"/>
      <selection pane="topLeft" activeCell="A1" sqref="A1"/>
      <selection pane="bottomLeft" activeCell="A113" sqref="A113"/>
    </sheetView>
  </sheetViews>
  <sheetFormatPr defaultColWidth="9.140625" defaultRowHeight="12.75"/>
  <cols>
    <col min="1" max="1" width="16.57421875" style="129" bestFit="1" customWidth="1"/>
    <col min="2" max="2" width="11.7109375" style="129" bestFit="1" customWidth="1"/>
    <col min="3" max="3" width="10.421875" style="129" bestFit="1" customWidth="1"/>
    <col min="4" max="4" width="9.57421875" style="129" bestFit="1" customWidth="1"/>
    <col min="5" max="5" width="11.7109375" style="129" bestFit="1" customWidth="1"/>
    <col min="6" max="6" width="17.57421875" style="129" bestFit="1" customWidth="1"/>
    <col min="7" max="7" width="6.421875" style="129" bestFit="1" customWidth="1"/>
    <col min="8" max="8" width="26.7109375" style="118" bestFit="1" customWidth="1"/>
    <col min="9" max="9" width="39.421875" style="129" customWidth="1"/>
    <col min="10" max="16384" width="9.140625" style="118" customWidth="1"/>
  </cols>
  <sheetData>
    <row r="3" spans="1:9" ht="25.5" customHeight="1">
      <c r="A3" s="132" t="s">
        <v>116</v>
      </c>
      <c r="B3" s="132" t="s">
        <v>117</v>
      </c>
      <c r="C3" s="132" t="s">
        <v>118</v>
      </c>
      <c r="D3" s="132" t="s">
        <v>119</v>
      </c>
      <c r="E3" s="133" t="s">
        <v>1259</v>
      </c>
      <c r="F3" s="132" t="s">
        <v>120</v>
      </c>
      <c r="G3" s="132" t="s">
        <v>121</v>
      </c>
      <c r="H3" s="132" t="s">
        <v>122</v>
      </c>
      <c r="I3" s="169" t="s">
        <v>1260</v>
      </c>
    </row>
    <row r="4" spans="1:9" ht="16.5" customHeight="1">
      <c r="A4" s="119" t="s">
        <v>123</v>
      </c>
      <c r="B4" s="119" t="s">
        <v>124</v>
      </c>
      <c r="C4" s="14" t="s">
        <v>125</v>
      </c>
      <c r="D4" s="119" t="s">
        <v>126</v>
      </c>
      <c r="E4" s="120" t="s">
        <v>127</v>
      </c>
      <c r="F4" s="119" t="s">
        <v>128</v>
      </c>
      <c r="G4" s="119" t="s">
        <v>129</v>
      </c>
      <c r="H4" s="121" t="s">
        <v>130</v>
      </c>
      <c r="I4" s="119" t="str">
        <f>IF(H4&gt;0,A4&amp;" "&amp;H4,A4&amp;" "&amp;F4)</f>
        <v>NGC 104 47 Tucanae</v>
      </c>
    </row>
    <row r="5" spans="1:9" ht="16.5" customHeight="1">
      <c r="A5" s="119" t="s">
        <v>131</v>
      </c>
      <c r="B5" s="119" t="s">
        <v>132</v>
      </c>
      <c r="C5" s="14" t="s">
        <v>133</v>
      </c>
      <c r="D5" s="119">
        <v>8</v>
      </c>
      <c r="E5" s="120" t="s">
        <v>134</v>
      </c>
      <c r="F5" s="119" t="s">
        <v>135</v>
      </c>
      <c r="G5" s="119" t="s">
        <v>136</v>
      </c>
      <c r="H5" s="121"/>
      <c r="I5" s="119" t="str">
        <f aca="true" t="shared" si="0" ref="I5:I68">IF(H5&gt;0,A5&amp;" "&amp;H5,A5&amp;" "&amp;F5)</f>
        <v>NGC 55 Galaxy</v>
      </c>
    </row>
    <row r="6" spans="1:9" ht="16.5" customHeight="1">
      <c r="A6" s="119" t="s">
        <v>137</v>
      </c>
      <c r="B6" s="14" t="s">
        <v>138</v>
      </c>
      <c r="C6" s="14" t="s">
        <v>139</v>
      </c>
      <c r="D6" s="119">
        <v>8.1</v>
      </c>
      <c r="E6" s="120" t="s">
        <v>140</v>
      </c>
      <c r="F6" s="119" t="s">
        <v>135</v>
      </c>
      <c r="G6" s="120" t="s">
        <v>141</v>
      </c>
      <c r="H6" s="121"/>
      <c r="I6" s="119" t="str">
        <f t="shared" si="0"/>
        <v>NGC 134 Galaxy</v>
      </c>
    </row>
    <row r="7" spans="1:9" ht="16.5" customHeight="1">
      <c r="A7" s="119" t="s">
        <v>142</v>
      </c>
      <c r="B7" s="119" t="s">
        <v>143</v>
      </c>
      <c r="C7" s="14" t="s">
        <v>144</v>
      </c>
      <c r="D7" s="119">
        <v>8.1</v>
      </c>
      <c r="E7" s="120" t="s">
        <v>145</v>
      </c>
      <c r="F7" s="119" t="s">
        <v>128</v>
      </c>
      <c r="G7" s="119" t="s">
        <v>136</v>
      </c>
      <c r="H7" s="121"/>
      <c r="I7" s="119" t="str">
        <f t="shared" si="0"/>
        <v>NGC 288 Globular Cluster</v>
      </c>
    </row>
    <row r="8" spans="1:9" ht="16.5" customHeight="1">
      <c r="A8" s="119" t="s">
        <v>146</v>
      </c>
      <c r="B8" s="119" t="s">
        <v>147</v>
      </c>
      <c r="C8" s="14" t="s">
        <v>148</v>
      </c>
      <c r="D8" s="119" t="s">
        <v>149</v>
      </c>
      <c r="E8" s="120" t="s">
        <v>150</v>
      </c>
      <c r="F8" s="119" t="s">
        <v>135</v>
      </c>
      <c r="G8" s="119" t="s">
        <v>141</v>
      </c>
      <c r="H8" s="121"/>
      <c r="I8" s="119" t="str">
        <f t="shared" si="0"/>
        <v>NGC 253 Galaxy</v>
      </c>
    </row>
    <row r="9" spans="1:9" ht="16.5" customHeight="1">
      <c r="A9" s="119" t="s">
        <v>151</v>
      </c>
      <c r="B9" s="119" t="s">
        <v>152</v>
      </c>
      <c r="C9" s="14" t="s">
        <v>153</v>
      </c>
      <c r="D9" s="119" t="s">
        <v>154</v>
      </c>
      <c r="E9" s="120" t="s">
        <v>155</v>
      </c>
      <c r="F9" s="119" t="s">
        <v>135</v>
      </c>
      <c r="G9" s="119" t="s">
        <v>156</v>
      </c>
      <c r="H9" s="121"/>
      <c r="I9" s="119" t="str">
        <f t="shared" si="0"/>
        <v>NGC 247 Galaxy</v>
      </c>
    </row>
    <row r="10" spans="1:9" ht="16.5" customHeight="1">
      <c r="A10" s="119" t="s">
        <v>157</v>
      </c>
      <c r="B10" s="119" t="s">
        <v>158</v>
      </c>
      <c r="C10" s="14" t="s">
        <v>159</v>
      </c>
      <c r="D10" s="119">
        <v>8.5</v>
      </c>
      <c r="E10" s="120" t="s">
        <v>160</v>
      </c>
      <c r="F10" s="119" t="s">
        <v>161</v>
      </c>
      <c r="G10" s="119" t="s">
        <v>156</v>
      </c>
      <c r="H10" s="121"/>
      <c r="I10" s="119" t="str">
        <f t="shared" si="0"/>
        <v>NGC 246 Planetary Nebula</v>
      </c>
    </row>
    <row r="11" spans="1:9" ht="16.5" customHeight="1">
      <c r="A11" s="122" t="s">
        <v>162</v>
      </c>
      <c r="B11" s="119" t="s">
        <v>163</v>
      </c>
      <c r="C11" s="14" t="s">
        <v>164</v>
      </c>
      <c r="D11" s="123">
        <v>9.2</v>
      </c>
      <c r="E11" s="119" t="s">
        <v>165</v>
      </c>
      <c r="F11" s="119" t="s">
        <v>135</v>
      </c>
      <c r="G11" s="119" t="s">
        <v>166</v>
      </c>
      <c r="H11" s="121"/>
      <c r="I11" s="119" t="str">
        <f t="shared" si="0"/>
        <v>M74 Galaxy</v>
      </c>
    </row>
    <row r="12" spans="1:9" ht="16.5" customHeight="1">
      <c r="A12" s="122" t="s">
        <v>167</v>
      </c>
      <c r="B12" s="119" t="s">
        <v>168</v>
      </c>
      <c r="C12" s="14" t="s">
        <v>169</v>
      </c>
      <c r="D12" s="123">
        <v>5.7</v>
      </c>
      <c r="E12" s="119" t="s">
        <v>170</v>
      </c>
      <c r="F12" s="119" t="s">
        <v>135</v>
      </c>
      <c r="G12" s="119" t="s">
        <v>171</v>
      </c>
      <c r="H12" s="121" t="s">
        <v>172</v>
      </c>
      <c r="I12" s="119" t="str">
        <f t="shared" si="0"/>
        <v>M33 Triangulum Galaxy</v>
      </c>
    </row>
    <row r="13" spans="1:9" ht="16.5" customHeight="1">
      <c r="A13" s="119" t="s">
        <v>173</v>
      </c>
      <c r="B13" s="119" t="s">
        <v>174</v>
      </c>
      <c r="C13" s="14" t="s">
        <v>175</v>
      </c>
      <c r="D13" s="119" t="s">
        <v>176</v>
      </c>
      <c r="E13" s="120" t="s">
        <v>177</v>
      </c>
      <c r="F13" s="119" t="s">
        <v>178</v>
      </c>
      <c r="G13" s="119" t="s">
        <v>179</v>
      </c>
      <c r="H13" s="121"/>
      <c r="I13" s="119" t="str">
        <f t="shared" si="0"/>
        <v>NGC 752 Open Cluster</v>
      </c>
    </row>
    <row r="14" spans="1:9" ht="16.5" customHeight="1">
      <c r="A14" s="122" t="s">
        <v>180</v>
      </c>
      <c r="B14" s="119" t="s">
        <v>181</v>
      </c>
      <c r="C14" s="14" t="s">
        <v>182</v>
      </c>
      <c r="D14" s="123">
        <v>8.2</v>
      </c>
      <c r="E14" s="119" t="s">
        <v>183</v>
      </c>
      <c r="F14" s="119" t="s">
        <v>135</v>
      </c>
      <c r="G14" s="119" t="s">
        <v>179</v>
      </c>
      <c r="H14" s="121"/>
      <c r="I14" s="119" t="str">
        <f t="shared" si="0"/>
        <v>M32 Galaxy</v>
      </c>
    </row>
    <row r="15" spans="1:9" ht="16.5" customHeight="1">
      <c r="A15" s="122" t="s">
        <v>184</v>
      </c>
      <c r="B15" s="119" t="s">
        <v>181</v>
      </c>
      <c r="C15" s="14" t="s">
        <v>185</v>
      </c>
      <c r="D15" s="123">
        <v>3.5</v>
      </c>
      <c r="E15" s="119" t="s">
        <v>186</v>
      </c>
      <c r="F15" s="119" t="s">
        <v>135</v>
      </c>
      <c r="G15" s="119" t="s">
        <v>179</v>
      </c>
      <c r="H15" s="121" t="s">
        <v>187</v>
      </c>
      <c r="I15" s="119" t="str">
        <f t="shared" si="0"/>
        <v>M31 Andromeda Galaxy</v>
      </c>
    </row>
    <row r="16" spans="1:9" ht="16.5" customHeight="1">
      <c r="A16" s="122" t="s">
        <v>188</v>
      </c>
      <c r="B16" s="119" t="s">
        <v>189</v>
      </c>
      <c r="C16" s="14" t="s">
        <v>190</v>
      </c>
      <c r="D16" s="123">
        <v>8</v>
      </c>
      <c r="E16" s="119" t="s">
        <v>191</v>
      </c>
      <c r="F16" s="119" t="s">
        <v>135</v>
      </c>
      <c r="G16" s="119" t="s">
        <v>179</v>
      </c>
      <c r="H16" s="121"/>
      <c r="I16" s="119" t="str">
        <f t="shared" si="0"/>
        <v>M110 Galaxy</v>
      </c>
    </row>
    <row r="17" spans="1:9" ht="16.5" customHeight="1">
      <c r="A17" s="122" t="s">
        <v>192</v>
      </c>
      <c r="B17" s="119" t="s">
        <v>193</v>
      </c>
      <c r="C17" s="14" t="s">
        <v>194</v>
      </c>
      <c r="D17" s="124">
        <v>12</v>
      </c>
      <c r="E17" s="119" t="s">
        <v>195</v>
      </c>
      <c r="F17" s="119" t="s">
        <v>161</v>
      </c>
      <c r="G17" s="119" t="s">
        <v>196</v>
      </c>
      <c r="H17" s="121" t="s">
        <v>197</v>
      </c>
      <c r="I17" s="119" t="str">
        <f t="shared" si="0"/>
        <v>M76 Little Dumbbell Nebula</v>
      </c>
    </row>
    <row r="18" spans="1:9" ht="16.5" customHeight="1">
      <c r="A18" s="119" t="s">
        <v>198</v>
      </c>
      <c r="B18" s="119" t="s">
        <v>143</v>
      </c>
      <c r="C18" s="14" t="s">
        <v>199</v>
      </c>
      <c r="D18" s="119">
        <v>7</v>
      </c>
      <c r="E18" s="119" t="s">
        <v>200</v>
      </c>
      <c r="F18" s="119" t="s">
        <v>201</v>
      </c>
      <c r="G18" s="120" t="s">
        <v>202</v>
      </c>
      <c r="H18" s="121" t="s">
        <v>203</v>
      </c>
      <c r="I18" s="119" t="str">
        <f t="shared" si="0"/>
        <v>NGC 281 Pac-Man, Giant Comma Neb.</v>
      </c>
    </row>
    <row r="19" spans="1:9" ht="16.5" customHeight="1">
      <c r="A19" s="122" t="s">
        <v>204</v>
      </c>
      <c r="B19" s="119" t="s">
        <v>205</v>
      </c>
      <c r="C19" s="125" t="s">
        <v>206</v>
      </c>
      <c r="D19" s="123">
        <v>8</v>
      </c>
      <c r="E19" s="119" t="s">
        <v>207</v>
      </c>
      <c r="F19" s="119" t="s">
        <v>178</v>
      </c>
      <c r="G19" s="119" t="s">
        <v>202</v>
      </c>
      <c r="H19" s="121"/>
      <c r="I19" s="119" t="str">
        <f t="shared" si="0"/>
        <v>NGC 436 Open Cluster</v>
      </c>
    </row>
    <row r="20" spans="1:9" ht="16.5" customHeight="1">
      <c r="A20" s="119" t="s">
        <v>208</v>
      </c>
      <c r="B20" s="119" t="s">
        <v>209</v>
      </c>
      <c r="C20" s="14" t="s">
        <v>210</v>
      </c>
      <c r="D20" s="119" t="s">
        <v>211</v>
      </c>
      <c r="E20" s="120" t="s">
        <v>212</v>
      </c>
      <c r="F20" s="119" t="s">
        <v>178</v>
      </c>
      <c r="G20" s="119" t="s">
        <v>202</v>
      </c>
      <c r="H20" s="121" t="s">
        <v>213</v>
      </c>
      <c r="I20" s="119" t="str">
        <f t="shared" si="0"/>
        <v>NGC 457 Owl or E.T. Cluster</v>
      </c>
    </row>
    <row r="21" spans="1:9" ht="16.5" customHeight="1">
      <c r="A21" s="122" t="s">
        <v>214</v>
      </c>
      <c r="B21" s="119" t="s">
        <v>215</v>
      </c>
      <c r="C21" s="14" t="s">
        <v>216</v>
      </c>
      <c r="D21" s="123">
        <v>7.4</v>
      </c>
      <c r="E21" s="119" t="s">
        <v>207</v>
      </c>
      <c r="F21" s="119" t="s">
        <v>178</v>
      </c>
      <c r="G21" s="119" t="s">
        <v>202</v>
      </c>
      <c r="H21" s="121"/>
      <c r="I21" s="119" t="str">
        <f t="shared" si="0"/>
        <v>M103 Open Cluster</v>
      </c>
    </row>
    <row r="22" spans="1:9" ht="16.5" customHeight="1">
      <c r="A22" s="122" t="s">
        <v>217</v>
      </c>
      <c r="B22" s="119" t="s">
        <v>218</v>
      </c>
      <c r="C22" s="125" t="s">
        <v>219</v>
      </c>
      <c r="D22" s="123">
        <v>6</v>
      </c>
      <c r="E22" s="119" t="s">
        <v>220</v>
      </c>
      <c r="F22" s="119" t="s">
        <v>178</v>
      </c>
      <c r="G22" s="119" t="s">
        <v>202</v>
      </c>
      <c r="H22" s="121"/>
      <c r="I22" s="119" t="str">
        <f t="shared" si="0"/>
        <v>NGC 129 Open Cluster</v>
      </c>
    </row>
    <row r="23" spans="1:9" ht="16.5" customHeight="1">
      <c r="A23" s="119" t="s">
        <v>221</v>
      </c>
      <c r="B23" s="119" t="s">
        <v>222</v>
      </c>
      <c r="C23" s="14" t="s">
        <v>216</v>
      </c>
      <c r="D23" s="119" t="s">
        <v>223</v>
      </c>
      <c r="E23" s="120" t="s">
        <v>224</v>
      </c>
      <c r="F23" s="119" t="s">
        <v>178</v>
      </c>
      <c r="G23" s="119" t="s">
        <v>202</v>
      </c>
      <c r="H23" s="121"/>
      <c r="I23" s="119" t="str">
        <f t="shared" si="0"/>
        <v>NGC 659 Open Cluster</v>
      </c>
    </row>
    <row r="24" spans="1:9" ht="16.5" customHeight="1">
      <c r="A24" s="119" t="s">
        <v>225</v>
      </c>
      <c r="B24" s="119" t="s">
        <v>226</v>
      </c>
      <c r="C24" s="14" t="s">
        <v>227</v>
      </c>
      <c r="D24" s="119" t="s">
        <v>228</v>
      </c>
      <c r="E24" s="120" t="s">
        <v>229</v>
      </c>
      <c r="F24" s="119" t="s">
        <v>178</v>
      </c>
      <c r="G24" s="119" t="s">
        <v>202</v>
      </c>
      <c r="H24" s="121"/>
      <c r="I24" s="119" t="str">
        <f t="shared" si="0"/>
        <v>NGC 225 Open Cluster</v>
      </c>
    </row>
    <row r="25" spans="1:9" ht="16.5" customHeight="1">
      <c r="A25" s="119" t="s">
        <v>230</v>
      </c>
      <c r="B25" s="119" t="s">
        <v>231</v>
      </c>
      <c r="C25" s="14" t="s">
        <v>232</v>
      </c>
      <c r="D25" s="119" t="s">
        <v>233</v>
      </c>
      <c r="E25" s="120" t="s">
        <v>224</v>
      </c>
      <c r="F25" s="119" t="s">
        <v>178</v>
      </c>
      <c r="G25" s="119" t="s">
        <v>202</v>
      </c>
      <c r="H25" s="121"/>
      <c r="I25" s="119" t="str">
        <f t="shared" si="0"/>
        <v>NGC 654 Open Cluster</v>
      </c>
    </row>
    <row r="26" spans="1:9" ht="16.5" customHeight="1">
      <c r="A26" s="119" t="s">
        <v>234</v>
      </c>
      <c r="B26" s="119" t="s">
        <v>235</v>
      </c>
      <c r="C26" s="14" t="s">
        <v>236</v>
      </c>
      <c r="D26" s="119" t="s">
        <v>237</v>
      </c>
      <c r="E26" s="120" t="s">
        <v>238</v>
      </c>
      <c r="F26" s="119" t="s">
        <v>178</v>
      </c>
      <c r="G26" s="119" t="s">
        <v>202</v>
      </c>
      <c r="H26" s="121"/>
      <c r="I26" s="119" t="str">
        <f t="shared" si="0"/>
        <v>NGC 663 Open Cluster</v>
      </c>
    </row>
    <row r="27" spans="1:9" ht="16.5" customHeight="1">
      <c r="A27" s="122" t="s">
        <v>239</v>
      </c>
      <c r="B27" s="119" t="s">
        <v>240</v>
      </c>
      <c r="C27" s="125" t="s">
        <v>241</v>
      </c>
      <c r="D27" s="123">
        <v>8</v>
      </c>
      <c r="E27" s="119" t="s">
        <v>242</v>
      </c>
      <c r="F27" s="119" t="s">
        <v>178</v>
      </c>
      <c r="G27" s="119" t="s">
        <v>202</v>
      </c>
      <c r="H27" s="121"/>
      <c r="I27" s="119" t="str">
        <f t="shared" si="0"/>
        <v>NGC 637 Open Cluster</v>
      </c>
    </row>
    <row r="28" spans="1:9" ht="16.5" customHeight="1">
      <c r="A28" s="119" t="s">
        <v>243</v>
      </c>
      <c r="B28" s="119" t="s">
        <v>244</v>
      </c>
      <c r="C28" s="14" t="s">
        <v>245</v>
      </c>
      <c r="D28" s="119" t="s">
        <v>246</v>
      </c>
      <c r="E28" s="120" t="s">
        <v>247</v>
      </c>
      <c r="F28" s="119" t="s">
        <v>161</v>
      </c>
      <c r="G28" s="119" t="s">
        <v>248</v>
      </c>
      <c r="H28" s="121"/>
      <c r="I28" s="119" t="str">
        <f t="shared" si="0"/>
        <v>NGC 40 Planetary Nebula</v>
      </c>
    </row>
    <row r="29" spans="1:9" ht="16.5" customHeight="1">
      <c r="A29" s="119" t="s">
        <v>249</v>
      </c>
      <c r="B29" s="119" t="s">
        <v>250</v>
      </c>
      <c r="C29" s="14" t="s">
        <v>251</v>
      </c>
      <c r="D29" s="119">
        <v>8.9</v>
      </c>
      <c r="E29" s="120" t="s">
        <v>252</v>
      </c>
      <c r="F29" s="119" t="s">
        <v>135</v>
      </c>
      <c r="G29" s="119" t="s">
        <v>253</v>
      </c>
      <c r="H29" s="121"/>
      <c r="I29" s="119" t="str">
        <f t="shared" si="0"/>
        <v>NGC 1316 Galaxy</v>
      </c>
    </row>
    <row r="30" spans="1:9" ht="16.5" customHeight="1">
      <c r="A30" s="119" t="s">
        <v>254</v>
      </c>
      <c r="B30" s="119" t="s">
        <v>255</v>
      </c>
      <c r="C30" s="14" t="s">
        <v>256</v>
      </c>
      <c r="D30" s="119"/>
      <c r="E30" s="120" t="s">
        <v>257</v>
      </c>
      <c r="F30" s="119" t="s">
        <v>258</v>
      </c>
      <c r="G30" s="119" t="s">
        <v>253</v>
      </c>
      <c r="H30" s="121"/>
      <c r="I30" s="119" t="str">
        <f t="shared" si="0"/>
        <v>Fornax Gal Cluster Galactic Cluster</v>
      </c>
    </row>
    <row r="31" spans="1:9" ht="16.5" customHeight="1">
      <c r="A31" s="119" t="s">
        <v>259</v>
      </c>
      <c r="B31" s="119" t="s">
        <v>260</v>
      </c>
      <c r="C31" s="14" t="s">
        <v>261</v>
      </c>
      <c r="D31" s="119">
        <v>8.6</v>
      </c>
      <c r="E31" s="120" t="s">
        <v>262</v>
      </c>
      <c r="F31" s="119" t="s">
        <v>161</v>
      </c>
      <c r="G31" s="119" t="s">
        <v>253</v>
      </c>
      <c r="H31" s="121"/>
      <c r="I31" s="119" t="str">
        <f t="shared" si="0"/>
        <v>NGC 1360 Planetary Nebula</v>
      </c>
    </row>
    <row r="32" spans="1:9" ht="16.5" customHeight="1">
      <c r="A32" s="122" t="s">
        <v>263</v>
      </c>
      <c r="B32" s="119" t="s">
        <v>264</v>
      </c>
      <c r="C32" s="14" t="s">
        <v>265</v>
      </c>
      <c r="D32" s="123">
        <v>8.8</v>
      </c>
      <c r="E32" s="119" t="s">
        <v>266</v>
      </c>
      <c r="F32" s="119" t="s">
        <v>135</v>
      </c>
      <c r="G32" s="119" t="s">
        <v>156</v>
      </c>
      <c r="H32" s="121"/>
      <c r="I32" s="119" t="str">
        <f t="shared" si="0"/>
        <v>M77 Galaxy</v>
      </c>
    </row>
    <row r="33" spans="1:9" ht="16.5" customHeight="1">
      <c r="A33" s="122" t="s">
        <v>267</v>
      </c>
      <c r="B33" s="119" t="s">
        <v>268</v>
      </c>
      <c r="C33" s="14" t="s">
        <v>269</v>
      </c>
      <c r="D33" s="123">
        <v>1.2</v>
      </c>
      <c r="E33" s="119" t="s">
        <v>270</v>
      </c>
      <c r="F33" s="119" t="s">
        <v>178</v>
      </c>
      <c r="G33" s="119" t="s">
        <v>271</v>
      </c>
      <c r="H33" s="121" t="s">
        <v>272</v>
      </c>
      <c r="I33" s="119" t="str">
        <f t="shared" si="0"/>
        <v>M45 Pleiades, Seven Sisters</v>
      </c>
    </row>
    <row r="34" spans="1:9" ht="16.5" customHeight="1">
      <c r="A34" s="119" t="s">
        <v>273</v>
      </c>
      <c r="B34" s="119" t="s">
        <v>274</v>
      </c>
      <c r="C34" s="14" t="s">
        <v>275</v>
      </c>
      <c r="D34" s="119" t="s">
        <v>276</v>
      </c>
      <c r="E34" s="120" t="s">
        <v>277</v>
      </c>
      <c r="F34" s="119" t="s">
        <v>135</v>
      </c>
      <c r="G34" s="119" t="s">
        <v>196</v>
      </c>
      <c r="H34" s="121"/>
      <c r="I34" s="119" t="str">
        <f t="shared" si="0"/>
        <v>NGC 1023 Galaxy</v>
      </c>
    </row>
    <row r="35" spans="1:9" ht="16.5" customHeight="1">
      <c r="A35" s="122" t="s">
        <v>278</v>
      </c>
      <c r="B35" s="119" t="s">
        <v>279</v>
      </c>
      <c r="C35" s="14" t="s">
        <v>280</v>
      </c>
      <c r="D35" s="123">
        <v>5.2</v>
      </c>
      <c r="E35" s="119" t="s">
        <v>200</v>
      </c>
      <c r="F35" s="119" t="s">
        <v>178</v>
      </c>
      <c r="G35" s="119" t="s">
        <v>196</v>
      </c>
      <c r="H35" s="121"/>
      <c r="I35" s="119" t="str">
        <f t="shared" si="0"/>
        <v>M34 Open Cluster</v>
      </c>
    </row>
    <row r="36" spans="1:9" ht="16.5" customHeight="1">
      <c r="A36" s="119" t="s">
        <v>281</v>
      </c>
      <c r="B36" s="119" t="s">
        <v>282</v>
      </c>
      <c r="C36" s="14" t="s">
        <v>283</v>
      </c>
      <c r="D36" s="119" t="s">
        <v>284</v>
      </c>
      <c r="E36" s="120" t="s">
        <v>285</v>
      </c>
      <c r="F36" s="119" t="s">
        <v>135</v>
      </c>
      <c r="G36" s="119" t="s">
        <v>179</v>
      </c>
      <c r="H36" s="121"/>
      <c r="I36" s="119" t="str">
        <f t="shared" si="0"/>
        <v>NGC 891 Galaxy</v>
      </c>
    </row>
    <row r="37" spans="1:9" ht="16.5" customHeight="1">
      <c r="A37" s="119" t="s">
        <v>286</v>
      </c>
      <c r="B37" s="119" t="s">
        <v>287</v>
      </c>
      <c r="C37" s="14" t="s">
        <v>288</v>
      </c>
      <c r="D37" s="119" t="s">
        <v>289</v>
      </c>
      <c r="E37" s="120" t="s">
        <v>290</v>
      </c>
      <c r="F37" s="119" t="s">
        <v>178</v>
      </c>
      <c r="G37" s="119" t="s">
        <v>196</v>
      </c>
      <c r="H37" s="121" t="s">
        <v>291</v>
      </c>
      <c r="I37" s="119" t="str">
        <f t="shared" si="0"/>
        <v>Melotte 20 Alpha Persei Association</v>
      </c>
    </row>
    <row r="38" spans="1:9" ht="16.5" customHeight="1">
      <c r="A38" s="119" t="s">
        <v>292</v>
      </c>
      <c r="B38" s="119" t="s">
        <v>293</v>
      </c>
      <c r="C38" s="14" t="s">
        <v>294</v>
      </c>
      <c r="D38" s="119" t="s">
        <v>295</v>
      </c>
      <c r="E38" s="120" t="s">
        <v>296</v>
      </c>
      <c r="F38" s="119" t="s">
        <v>178</v>
      </c>
      <c r="G38" s="119" t="s">
        <v>196</v>
      </c>
      <c r="H38" s="121" t="s">
        <v>297</v>
      </c>
      <c r="I38" s="119" t="str">
        <f t="shared" si="0"/>
        <v>NGC 869 Double Cluster</v>
      </c>
    </row>
    <row r="39" spans="1:9" ht="16.5" customHeight="1">
      <c r="A39" s="119" t="s">
        <v>298</v>
      </c>
      <c r="B39" s="119" t="s">
        <v>299</v>
      </c>
      <c r="C39" s="14" t="s">
        <v>300</v>
      </c>
      <c r="D39" s="119" t="s">
        <v>301</v>
      </c>
      <c r="E39" s="120" t="s">
        <v>296</v>
      </c>
      <c r="F39" s="119" t="s">
        <v>178</v>
      </c>
      <c r="G39" s="119" t="s">
        <v>196</v>
      </c>
      <c r="H39" s="121" t="s">
        <v>297</v>
      </c>
      <c r="I39" s="119" t="str">
        <f t="shared" si="0"/>
        <v>NGC 884 Double Cluster</v>
      </c>
    </row>
    <row r="40" spans="1:9" ht="16.5" customHeight="1">
      <c r="A40" s="119" t="s">
        <v>302</v>
      </c>
      <c r="B40" s="119" t="s">
        <v>303</v>
      </c>
      <c r="C40" s="14" t="s">
        <v>304</v>
      </c>
      <c r="D40" s="119" t="s">
        <v>305</v>
      </c>
      <c r="E40" s="120" t="s">
        <v>306</v>
      </c>
      <c r="F40" s="119" t="s">
        <v>178</v>
      </c>
      <c r="G40" s="119" t="s">
        <v>202</v>
      </c>
      <c r="H40" s="121" t="s">
        <v>307</v>
      </c>
      <c r="I40" s="119" t="str">
        <f t="shared" si="0"/>
        <v>Stock 2 Muscleman Cluster</v>
      </c>
    </row>
    <row r="41" spans="1:9" ht="16.5" customHeight="1">
      <c r="A41" s="119" t="s">
        <v>308</v>
      </c>
      <c r="B41" s="119" t="s">
        <v>309</v>
      </c>
      <c r="C41" s="14" t="s">
        <v>310</v>
      </c>
      <c r="D41" s="119"/>
      <c r="E41" s="120"/>
      <c r="F41" s="119" t="s">
        <v>311</v>
      </c>
      <c r="G41" s="119" t="s">
        <v>312</v>
      </c>
      <c r="H41" s="121"/>
      <c r="I41" s="119" t="str">
        <f t="shared" si="0"/>
        <v>Kemble's Cascade Asterism</v>
      </c>
    </row>
    <row r="42" spans="1:9" ht="16.5" customHeight="1">
      <c r="A42" s="119" t="s">
        <v>313</v>
      </c>
      <c r="B42" s="119" t="s">
        <v>314</v>
      </c>
      <c r="C42" s="14" t="s">
        <v>315</v>
      </c>
      <c r="D42" s="119" t="s">
        <v>316</v>
      </c>
      <c r="E42" s="120" t="s">
        <v>224</v>
      </c>
      <c r="F42" s="119" t="s">
        <v>317</v>
      </c>
      <c r="G42" s="119" t="s">
        <v>318</v>
      </c>
      <c r="H42" s="121" t="s">
        <v>319</v>
      </c>
      <c r="I42" s="119" t="str">
        <f t="shared" si="0"/>
        <v>NGC 2070 Tarantula Nebula</v>
      </c>
    </row>
    <row r="43" spans="1:9" ht="16.5" customHeight="1">
      <c r="A43" s="122" t="s">
        <v>320</v>
      </c>
      <c r="B43" s="119" t="s">
        <v>321</v>
      </c>
      <c r="C43" s="14" t="s">
        <v>322</v>
      </c>
      <c r="D43" s="123">
        <v>8</v>
      </c>
      <c r="E43" s="119" t="s">
        <v>323</v>
      </c>
      <c r="F43" s="119" t="s">
        <v>128</v>
      </c>
      <c r="G43" s="119" t="s">
        <v>324</v>
      </c>
      <c r="H43" s="121"/>
      <c r="I43" s="119" t="str">
        <f t="shared" si="0"/>
        <v>M79 Globular Cluster</v>
      </c>
    </row>
    <row r="44" spans="1:9" ht="16.5" customHeight="1">
      <c r="A44" s="119" t="s">
        <v>326</v>
      </c>
      <c r="B44" s="119" t="s">
        <v>327</v>
      </c>
      <c r="C44" s="14" t="s">
        <v>328</v>
      </c>
      <c r="D44" s="119" t="s">
        <v>246</v>
      </c>
      <c r="E44" s="120" t="s">
        <v>329</v>
      </c>
      <c r="F44" s="119" t="s">
        <v>161</v>
      </c>
      <c r="G44" s="119" t="s">
        <v>324</v>
      </c>
      <c r="H44" s="121"/>
      <c r="I44" s="119" t="str">
        <f t="shared" si="0"/>
        <v>IC 418 Planetary Nebula</v>
      </c>
    </row>
    <row r="45" spans="1:9" ht="16.5" customHeight="1">
      <c r="A45" s="119" t="s">
        <v>330</v>
      </c>
      <c r="B45" s="119" t="s">
        <v>331</v>
      </c>
      <c r="C45" s="14" t="s">
        <v>332</v>
      </c>
      <c r="D45" s="119" t="s">
        <v>333</v>
      </c>
      <c r="E45" s="120" t="s">
        <v>334</v>
      </c>
      <c r="F45" s="119" t="s">
        <v>161</v>
      </c>
      <c r="G45" s="119" t="s">
        <v>335</v>
      </c>
      <c r="H45" s="121" t="s">
        <v>336</v>
      </c>
      <c r="I45" s="119" t="str">
        <f t="shared" si="0"/>
        <v>NGC 1535 Multiple shells</v>
      </c>
    </row>
    <row r="46" spans="1:9" ht="16.5" customHeight="1">
      <c r="A46" s="122" t="s">
        <v>337</v>
      </c>
      <c r="B46" s="119" t="s">
        <v>338</v>
      </c>
      <c r="C46" s="14" t="s">
        <v>339</v>
      </c>
      <c r="D46" s="124">
        <v>5</v>
      </c>
      <c r="E46" s="119" t="s">
        <v>340</v>
      </c>
      <c r="F46" s="119" t="s">
        <v>341</v>
      </c>
      <c r="G46" s="119" t="s">
        <v>342</v>
      </c>
      <c r="H46" s="121" t="s">
        <v>343</v>
      </c>
      <c r="I46" s="119" t="str">
        <f t="shared" si="0"/>
        <v>M42 Orion Nebula / Trapezium</v>
      </c>
    </row>
    <row r="47" spans="1:9" ht="16.5" customHeight="1">
      <c r="A47" s="122" t="s">
        <v>344</v>
      </c>
      <c r="B47" s="119" t="s">
        <v>345</v>
      </c>
      <c r="C47" s="14" t="s">
        <v>346</v>
      </c>
      <c r="D47" s="124">
        <v>7</v>
      </c>
      <c r="E47" s="119" t="s">
        <v>347</v>
      </c>
      <c r="F47" s="119" t="s">
        <v>341</v>
      </c>
      <c r="G47" s="119" t="s">
        <v>342</v>
      </c>
      <c r="H47" s="121" t="s">
        <v>348</v>
      </c>
      <c r="I47" s="119" t="str">
        <f t="shared" si="0"/>
        <v>M43 part of Orion Nebula</v>
      </c>
    </row>
    <row r="48" spans="1:9" ht="16.5" customHeight="1">
      <c r="A48" s="119" t="s">
        <v>349</v>
      </c>
      <c r="B48" s="119" t="s">
        <v>350</v>
      </c>
      <c r="C48" s="14" t="s">
        <v>351</v>
      </c>
      <c r="D48" s="119"/>
      <c r="E48" s="120" t="s">
        <v>352</v>
      </c>
      <c r="F48" s="119" t="s">
        <v>317</v>
      </c>
      <c r="G48" s="119" t="s">
        <v>342</v>
      </c>
      <c r="H48" s="121" t="s">
        <v>353</v>
      </c>
      <c r="I48" s="119" t="str">
        <f t="shared" si="0"/>
        <v>NGC 1973 Part of Running Man Nebula</v>
      </c>
    </row>
    <row r="49" spans="1:9" ht="16.5" customHeight="1">
      <c r="A49" s="119" t="s">
        <v>354</v>
      </c>
      <c r="B49" s="119" t="s">
        <v>355</v>
      </c>
      <c r="C49" s="14" t="s">
        <v>356</v>
      </c>
      <c r="D49" s="119"/>
      <c r="E49" s="120" t="s">
        <v>357</v>
      </c>
      <c r="F49" s="119" t="s">
        <v>317</v>
      </c>
      <c r="G49" s="119" t="s">
        <v>342</v>
      </c>
      <c r="H49" s="121" t="s">
        <v>353</v>
      </c>
      <c r="I49" s="119" t="str">
        <f t="shared" si="0"/>
        <v>NGC 1975 Part of Running Man Nebula</v>
      </c>
    </row>
    <row r="50" spans="1:9" ht="16.5" customHeight="1">
      <c r="A50" s="119" t="s">
        <v>358</v>
      </c>
      <c r="B50" s="119" t="s">
        <v>359</v>
      </c>
      <c r="C50" s="14" t="s">
        <v>360</v>
      </c>
      <c r="D50" s="119"/>
      <c r="E50" s="120" t="s">
        <v>361</v>
      </c>
      <c r="F50" s="119" t="s">
        <v>317</v>
      </c>
      <c r="G50" s="119" t="s">
        <v>342</v>
      </c>
      <c r="H50" s="121" t="s">
        <v>353</v>
      </c>
      <c r="I50" s="119" t="str">
        <f t="shared" si="0"/>
        <v>NGC 1977 Part of Running Man Nebula</v>
      </c>
    </row>
    <row r="51" spans="1:9" ht="16.5" customHeight="1">
      <c r="A51" s="119" t="s">
        <v>362</v>
      </c>
      <c r="B51" s="119" t="s">
        <v>363</v>
      </c>
      <c r="C51" s="125" t="s">
        <v>364</v>
      </c>
      <c r="D51" s="119"/>
      <c r="E51" s="120" t="s">
        <v>365</v>
      </c>
      <c r="F51" s="120" t="s">
        <v>366</v>
      </c>
      <c r="G51" s="119" t="s">
        <v>342</v>
      </c>
      <c r="H51" s="121" t="s">
        <v>367</v>
      </c>
      <c r="I51" s="119" t="str">
        <f t="shared" si="0"/>
        <v>IC 434 / B33 Horsehead (NGC 2023/4 also)</v>
      </c>
    </row>
    <row r="52" spans="1:9" ht="16.5" customHeight="1">
      <c r="A52" s="122" t="s">
        <v>368</v>
      </c>
      <c r="B52" s="119" t="s">
        <v>369</v>
      </c>
      <c r="C52" s="14" t="s">
        <v>370</v>
      </c>
      <c r="D52" s="124">
        <v>8</v>
      </c>
      <c r="E52" s="119" t="s">
        <v>183</v>
      </c>
      <c r="F52" s="119" t="s">
        <v>371</v>
      </c>
      <c r="G52" s="119" t="s">
        <v>342</v>
      </c>
      <c r="H52" s="121"/>
      <c r="I52" s="119" t="str">
        <f t="shared" si="0"/>
        <v>M78 Reflection Nebula</v>
      </c>
    </row>
    <row r="53" spans="1:9" ht="16.5" customHeight="1">
      <c r="A53" s="119" t="s">
        <v>372</v>
      </c>
      <c r="B53" s="119" t="s">
        <v>373</v>
      </c>
      <c r="C53" s="14" t="s">
        <v>374</v>
      </c>
      <c r="D53" s="119"/>
      <c r="E53" s="120" t="s">
        <v>375</v>
      </c>
      <c r="F53" s="119" t="s">
        <v>376</v>
      </c>
      <c r="G53" s="119" t="s">
        <v>342</v>
      </c>
      <c r="H53" s="121" t="s">
        <v>377</v>
      </c>
      <c r="I53" s="119" t="str">
        <f t="shared" si="0"/>
        <v>Barnard's Loop Faint Nebula</v>
      </c>
    </row>
    <row r="54" spans="1:9" ht="16.5" customHeight="1">
      <c r="A54" s="119" t="s">
        <v>378</v>
      </c>
      <c r="B54" s="119" t="s">
        <v>379</v>
      </c>
      <c r="C54" s="14" t="s">
        <v>380</v>
      </c>
      <c r="D54" s="119" t="s">
        <v>381</v>
      </c>
      <c r="E54" s="120" t="s">
        <v>382</v>
      </c>
      <c r="F54" s="119" t="s">
        <v>178</v>
      </c>
      <c r="G54" s="119" t="s">
        <v>271</v>
      </c>
      <c r="H54" s="121" t="s">
        <v>383</v>
      </c>
      <c r="I54" s="119" t="str">
        <f t="shared" si="0"/>
        <v>Melotte 25 Hyades</v>
      </c>
    </row>
    <row r="55" spans="1:9" ht="16.5" customHeight="1">
      <c r="A55" s="122" t="s">
        <v>384</v>
      </c>
      <c r="B55" s="119" t="s">
        <v>385</v>
      </c>
      <c r="C55" s="14" t="s">
        <v>386</v>
      </c>
      <c r="D55" s="123">
        <v>9</v>
      </c>
      <c r="E55" s="119" t="s">
        <v>387</v>
      </c>
      <c r="F55" s="119" t="s">
        <v>388</v>
      </c>
      <c r="G55" s="119" t="s">
        <v>271</v>
      </c>
      <c r="H55" s="121" t="s">
        <v>389</v>
      </c>
      <c r="I55" s="119" t="str">
        <f t="shared" si="0"/>
        <v>M1 Crab Nebula</v>
      </c>
    </row>
    <row r="56" spans="1:9" ht="16.5" customHeight="1">
      <c r="A56" s="119" t="s">
        <v>390</v>
      </c>
      <c r="B56" s="119" t="s">
        <v>391</v>
      </c>
      <c r="C56" s="14" t="s">
        <v>392</v>
      </c>
      <c r="D56" s="119">
        <v>10.9</v>
      </c>
      <c r="E56" s="120" t="s">
        <v>393</v>
      </c>
      <c r="F56" s="119" t="s">
        <v>161</v>
      </c>
      <c r="G56" s="119" t="s">
        <v>271</v>
      </c>
      <c r="H56" s="121"/>
      <c r="I56" s="119" t="str">
        <f t="shared" si="0"/>
        <v>NGC 1514 Planetary Nebula</v>
      </c>
    </row>
    <row r="57" spans="1:9" ht="16.5" customHeight="1">
      <c r="A57" s="122" t="s">
        <v>394</v>
      </c>
      <c r="B57" s="119" t="s">
        <v>395</v>
      </c>
      <c r="C57" s="14" t="s">
        <v>396</v>
      </c>
      <c r="D57" s="123">
        <v>5.6</v>
      </c>
      <c r="E57" s="119" t="s">
        <v>397</v>
      </c>
      <c r="F57" s="119" t="s">
        <v>178</v>
      </c>
      <c r="G57" s="119" t="s">
        <v>398</v>
      </c>
      <c r="H57" s="121"/>
      <c r="I57" s="119" t="str">
        <f t="shared" si="0"/>
        <v>M37 Open Cluster</v>
      </c>
    </row>
    <row r="58" spans="1:9" ht="16.5" customHeight="1">
      <c r="A58" s="122" t="s">
        <v>399</v>
      </c>
      <c r="B58" s="119" t="s">
        <v>400</v>
      </c>
      <c r="C58" s="14" t="s">
        <v>401</v>
      </c>
      <c r="D58" s="123">
        <v>6</v>
      </c>
      <c r="E58" s="119" t="s">
        <v>402</v>
      </c>
      <c r="F58" s="119" t="s">
        <v>178</v>
      </c>
      <c r="G58" s="119" t="s">
        <v>398</v>
      </c>
      <c r="H58" s="121"/>
      <c r="I58" s="119" t="str">
        <f t="shared" si="0"/>
        <v>M36 Open Cluster</v>
      </c>
    </row>
    <row r="59" spans="1:9" ht="16.5" customHeight="1">
      <c r="A59" s="122" t="s">
        <v>403</v>
      </c>
      <c r="B59" s="119" t="s">
        <v>404</v>
      </c>
      <c r="C59" s="14" t="s">
        <v>405</v>
      </c>
      <c r="D59" s="123">
        <v>6.4</v>
      </c>
      <c r="E59" s="119" t="s">
        <v>220</v>
      </c>
      <c r="F59" s="119" t="s">
        <v>178</v>
      </c>
      <c r="G59" s="119" t="s">
        <v>398</v>
      </c>
      <c r="H59" s="121"/>
      <c r="I59" s="119" t="str">
        <f t="shared" si="0"/>
        <v>M38 Open Cluster</v>
      </c>
    </row>
    <row r="60" spans="1:9" ht="16.5" customHeight="1">
      <c r="A60" s="119" t="s">
        <v>406</v>
      </c>
      <c r="B60" s="119" t="s">
        <v>407</v>
      </c>
      <c r="C60" s="14" t="s">
        <v>408</v>
      </c>
      <c r="D60" s="119" t="s">
        <v>409</v>
      </c>
      <c r="E60" s="120" t="s">
        <v>410</v>
      </c>
      <c r="F60" s="119" t="s">
        <v>178</v>
      </c>
      <c r="G60" s="119" t="s">
        <v>398</v>
      </c>
      <c r="H60" s="121"/>
      <c r="I60" s="119" t="str">
        <f t="shared" si="0"/>
        <v>NGC 1907 Open Cluster</v>
      </c>
    </row>
    <row r="61" spans="1:9" ht="16.5" customHeight="1">
      <c r="A61" s="119" t="s">
        <v>411</v>
      </c>
      <c r="B61" s="119" t="s">
        <v>412</v>
      </c>
      <c r="C61" s="14" t="s">
        <v>413</v>
      </c>
      <c r="D61" s="119" t="s">
        <v>211</v>
      </c>
      <c r="E61" s="120" t="s">
        <v>414</v>
      </c>
      <c r="F61" s="119" t="s">
        <v>178</v>
      </c>
      <c r="G61" s="119" t="s">
        <v>196</v>
      </c>
      <c r="H61" s="121"/>
      <c r="I61" s="119" t="str">
        <f t="shared" si="0"/>
        <v>NGC 1528 Open Cluster</v>
      </c>
    </row>
    <row r="62" spans="1:9" ht="16.5" customHeight="1">
      <c r="A62" s="119" t="s">
        <v>415</v>
      </c>
      <c r="B62" s="119" t="s">
        <v>416</v>
      </c>
      <c r="C62" s="14" t="s">
        <v>417</v>
      </c>
      <c r="D62" s="119" t="s">
        <v>418</v>
      </c>
      <c r="E62" s="120" t="s">
        <v>419</v>
      </c>
      <c r="F62" s="119" t="s">
        <v>178</v>
      </c>
      <c r="G62" s="119" t="s">
        <v>312</v>
      </c>
      <c r="H62" s="121"/>
      <c r="I62" s="119" t="str">
        <f t="shared" si="0"/>
        <v>NGC 1502 Open Cluster</v>
      </c>
    </row>
    <row r="63" spans="1:9" ht="16.5" customHeight="1">
      <c r="A63" s="122" t="s">
        <v>420</v>
      </c>
      <c r="B63" s="119" t="s">
        <v>421</v>
      </c>
      <c r="C63" s="125" t="s">
        <v>422</v>
      </c>
      <c r="D63" s="123">
        <v>5.8</v>
      </c>
      <c r="E63" s="119" t="s">
        <v>423</v>
      </c>
      <c r="F63" s="119" t="s">
        <v>178</v>
      </c>
      <c r="G63" s="119" t="s">
        <v>424</v>
      </c>
      <c r="H63" s="121"/>
      <c r="I63" s="119" t="str">
        <f t="shared" si="0"/>
        <v>NGC 2477 Open Cluster</v>
      </c>
    </row>
    <row r="64" spans="1:9" ht="16.5" customHeight="1">
      <c r="A64" s="119" t="s">
        <v>425</v>
      </c>
      <c r="B64" s="119" t="s">
        <v>426</v>
      </c>
      <c r="C64" s="14" t="s">
        <v>427</v>
      </c>
      <c r="D64" s="119" t="s">
        <v>237</v>
      </c>
      <c r="E64" s="120" t="s">
        <v>428</v>
      </c>
      <c r="F64" s="119" t="s">
        <v>317</v>
      </c>
      <c r="G64" s="119" t="s">
        <v>429</v>
      </c>
      <c r="H64" s="121"/>
      <c r="I64" s="119" t="str">
        <f t="shared" si="0"/>
        <v>NGC 2467 Bright Nebula</v>
      </c>
    </row>
    <row r="65" spans="1:9" ht="16.5" customHeight="1">
      <c r="A65" s="119" t="s">
        <v>430</v>
      </c>
      <c r="B65" s="119" t="s">
        <v>431</v>
      </c>
      <c r="C65" s="14" t="s">
        <v>432</v>
      </c>
      <c r="D65" s="119" t="s">
        <v>433</v>
      </c>
      <c r="E65" s="120" t="s">
        <v>419</v>
      </c>
      <c r="F65" s="119" t="s">
        <v>178</v>
      </c>
      <c r="G65" s="119" t="s">
        <v>434</v>
      </c>
      <c r="H65" s="121"/>
      <c r="I65" s="119" t="str">
        <f t="shared" si="0"/>
        <v>NGC 2362 Open Cluster</v>
      </c>
    </row>
    <row r="66" spans="1:9" ht="16.5" customHeight="1">
      <c r="A66" s="122" t="s">
        <v>435</v>
      </c>
      <c r="B66" s="119" t="s">
        <v>436</v>
      </c>
      <c r="C66" s="14" t="s">
        <v>437</v>
      </c>
      <c r="D66" s="123">
        <v>6.2</v>
      </c>
      <c r="E66" s="119" t="s">
        <v>438</v>
      </c>
      <c r="F66" s="119" t="s">
        <v>178</v>
      </c>
      <c r="G66" s="119" t="s">
        <v>429</v>
      </c>
      <c r="H66" s="121"/>
      <c r="I66" s="119" t="str">
        <f t="shared" si="0"/>
        <v>M93 Open Cluster</v>
      </c>
    </row>
    <row r="67" spans="1:9" ht="16.5" customHeight="1">
      <c r="A67" s="122" t="s">
        <v>439</v>
      </c>
      <c r="B67" s="119" t="s">
        <v>440</v>
      </c>
      <c r="C67" s="14" t="s">
        <v>441</v>
      </c>
      <c r="D67" s="123">
        <v>4.5</v>
      </c>
      <c r="E67" s="119" t="s">
        <v>442</v>
      </c>
      <c r="F67" s="119" t="s">
        <v>178</v>
      </c>
      <c r="G67" s="119" t="s">
        <v>434</v>
      </c>
      <c r="H67" s="121"/>
      <c r="I67" s="119" t="str">
        <f t="shared" si="0"/>
        <v>M41 Open Cluster</v>
      </c>
    </row>
    <row r="68" spans="1:9" ht="16.5" customHeight="1">
      <c r="A68" s="119" t="s">
        <v>443</v>
      </c>
      <c r="B68" s="119" t="s">
        <v>444</v>
      </c>
      <c r="C68" s="14" t="s">
        <v>445</v>
      </c>
      <c r="D68" s="119" t="s">
        <v>149</v>
      </c>
      <c r="E68" s="120" t="s">
        <v>212</v>
      </c>
      <c r="F68" s="119" t="s">
        <v>178</v>
      </c>
      <c r="G68" s="119" t="s">
        <v>434</v>
      </c>
      <c r="H68" s="121"/>
      <c r="I68" s="119" t="str">
        <f t="shared" si="0"/>
        <v>NGC 2360 Open Cluster</v>
      </c>
    </row>
    <row r="69" spans="1:9" ht="16.5" customHeight="1">
      <c r="A69" s="122" t="s">
        <v>446</v>
      </c>
      <c r="B69" s="119" t="s">
        <v>447</v>
      </c>
      <c r="C69" s="14" t="s">
        <v>448</v>
      </c>
      <c r="D69" s="123">
        <v>6.1</v>
      </c>
      <c r="E69" s="119" t="s">
        <v>423</v>
      </c>
      <c r="F69" s="119" t="s">
        <v>178</v>
      </c>
      <c r="G69" s="119" t="s">
        <v>429</v>
      </c>
      <c r="H69" s="121"/>
      <c r="I69" s="119" t="str">
        <f aca="true" t="shared" si="1" ref="I69:I132">IF(H69&gt;0,A69&amp;" "&amp;H69,A69&amp;" "&amp;F69)</f>
        <v>M46 Open Cluster</v>
      </c>
    </row>
    <row r="70" spans="1:9" ht="16.5" customHeight="1">
      <c r="A70" s="122" t="s">
        <v>449</v>
      </c>
      <c r="B70" s="119" t="s">
        <v>450</v>
      </c>
      <c r="C70" s="14" t="s">
        <v>451</v>
      </c>
      <c r="D70" s="123">
        <v>4.4</v>
      </c>
      <c r="E70" s="119" t="s">
        <v>452</v>
      </c>
      <c r="F70" s="119" t="s">
        <v>178</v>
      </c>
      <c r="G70" s="119" t="s">
        <v>429</v>
      </c>
      <c r="H70" s="121"/>
      <c r="I70" s="119" t="str">
        <f t="shared" si="1"/>
        <v>M47 Open Cluster</v>
      </c>
    </row>
    <row r="71" spans="1:9" ht="16.5" customHeight="1">
      <c r="A71" s="119" t="s">
        <v>453</v>
      </c>
      <c r="B71" s="119" t="s">
        <v>454</v>
      </c>
      <c r="C71" s="14" t="s">
        <v>455</v>
      </c>
      <c r="D71" s="119" t="s">
        <v>456</v>
      </c>
      <c r="E71" s="120" t="s">
        <v>457</v>
      </c>
      <c r="F71" s="119" t="s">
        <v>161</v>
      </c>
      <c r="G71" s="119" t="s">
        <v>429</v>
      </c>
      <c r="H71" s="121"/>
      <c r="I71" s="119" t="str">
        <f t="shared" si="1"/>
        <v>NGC 2438 Planetary Nebula</v>
      </c>
    </row>
    <row r="72" spans="1:9" ht="16.5" customHeight="1">
      <c r="A72" s="119" t="s">
        <v>458</v>
      </c>
      <c r="B72" s="119" t="s">
        <v>444</v>
      </c>
      <c r="C72" s="14" t="s">
        <v>459</v>
      </c>
      <c r="D72" s="119"/>
      <c r="E72" s="120" t="s">
        <v>419</v>
      </c>
      <c r="F72" s="119" t="s">
        <v>317</v>
      </c>
      <c r="G72" s="119" t="s">
        <v>434</v>
      </c>
      <c r="H72" s="121" t="s">
        <v>460</v>
      </c>
      <c r="I72" s="119" t="str">
        <f t="shared" si="1"/>
        <v>NGC 2359 Thor's Helmet or Duck Nebula</v>
      </c>
    </row>
    <row r="73" spans="1:9" ht="16.5" customHeight="1">
      <c r="A73" s="122" t="s">
        <v>461</v>
      </c>
      <c r="B73" s="119" t="s">
        <v>462</v>
      </c>
      <c r="C73" s="14" t="s">
        <v>463</v>
      </c>
      <c r="D73" s="123">
        <v>5.9</v>
      </c>
      <c r="E73" s="119" t="s">
        <v>464</v>
      </c>
      <c r="F73" s="119" t="s">
        <v>178</v>
      </c>
      <c r="G73" s="119" t="s">
        <v>465</v>
      </c>
      <c r="H73" s="121"/>
      <c r="I73" s="119" t="str">
        <f t="shared" si="1"/>
        <v>M50 Open Cluster</v>
      </c>
    </row>
    <row r="74" spans="1:9" ht="16.5" customHeight="1">
      <c r="A74" s="119" t="s">
        <v>466</v>
      </c>
      <c r="B74" s="119" t="s">
        <v>467</v>
      </c>
      <c r="C74" s="14" t="s">
        <v>468</v>
      </c>
      <c r="D74" s="119" t="s">
        <v>469</v>
      </c>
      <c r="E74" s="120" t="s">
        <v>296</v>
      </c>
      <c r="F74" s="119" t="s">
        <v>178</v>
      </c>
      <c r="G74" s="119" t="s">
        <v>465</v>
      </c>
      <c r="H74" s="121"/>
      <c r="I74" s="119" t="str">
        <f t="shared" si="1"/>
        <v>NGC 2232 Open Cluster</v>
      </c>
    </row>
    <row r="75" spans="1:9" ht="16.5" customHeight="1">
      <c r="A75" s="119" t="s">
        <v>470</v>
      </c>
      <c r="B75" s="119" t="s">
        <v>471</v>
      </c>
      <c r="C75" s="14" t="s">
        <v>472</v>
      </c>
      <c r="D75" s="119" t="s">
        <v>473</v>
      </c>
      <c r="E75" s="120" t="s">
        <v>229</v>
      </c>
      <c r="F75" s="119" t="s">
        <v>178</v>
      </c>
      <c r="G75" s="119" t="s">
        <v>465</v>
      </c>
      <c r="H75" s="121"/>
      <c r="I75" s="119" t="str">
        <f t="shared" si="1"/>
        <v>NGC 2301 Open Cluster</v>
      </c>
    </row>
    <row r="76" spans="1:9" ht="16.5" customHeight="1">
      <c r="A76" s="119" t="s">
        <v>474</v>
      </c>
      <c r="B76" s="119" t="s">
        <v>475</v>
      </c>
      <c r="C76" s="14" t="s">
        <v>476</v>
      </c>
      <c r="D76" s="119" t="s">
        <v>477</v>
      </c>
      <c r="E76" s="120" t="s">
        <v>478</v>
      </c>
      <c r="F76" s="119" t="s">
        <v>317</v>
      </c>
      <c r="G76" s="119" t="s">
        <v>465</v>
      </c>
      <c r="H76" s="121" t="s">
        <v>479</v>
      </c>
      <c r="I76" s="119" t="str">
        <f t="shared" si="1"/>
        <v>NGC 2237 Rosette Nebula</v>
      </c>
    </row>
    <row r="77" spans="1:9" ht="16.5" customHeight="1">
      <c r="A77" s="119" t="s">
        <v>480</v>
      </c>
      <c r="B77" s="119" t="s">
        <v>481</v>
      </c>
      <c r="C77" s="14" t="s">
        <v>482</v>
      </c>
      <c r="D77" s="119" t="s">
        <v>483</v>
      </c>
      <c r="E77" s="120" t="s">
        <v>414</v>
      </c>
      <c r="F77" s="119" t="s">
        <v>178</v>
      </c>
      <c r="G77" s="119" t="s">
        <v>465</v>
      </c>
      <c r="H77" s="121"/>
      <c r="I77" s="119" t="str">
        <f t="shared" si="1"/>
        <v>NGC 2244 Open Cluster</v>
      </c>
    </row>
    <row r="78" spans="1:9" ht="16.5" customHeight="1">
      <c r="A78" s="119" t="s">
        <v>484</v>
      </c>
      <c r="B78" s="119" t="s">
        <v>485</v>
      </c>
      <c r="C78" s="14" t="s">
        <v>486</v>
      </c>
      <c r="D78" s="119" t="s">
        <v>456</v>
      </c>
      <c r="E78" s="120" t="s">
        <v>487</v>
      </c>
      <c r="F78" s="119" t="s">
        <v>317</v>
      </c>
      <c r="G78" s="119" t="s">
        <v>465</v>
      </c>
      <c r="H78" s="121" t="s">
        <v>488</v>
      </c>
      <c r="I78" s="119" t="str">
        <f t="shared" si="1"/>
        <v>NGC 2261 Hubble's Variable Nebula</v>
      </c>
    </row>
    <row r="79" spans="1:9" ht="16.5" customHeight="1">
      <c r="A79" s="119" t="s">
        <v>489</v>
      </c>
      <c r="B79" s="119" t="s">
        <v>490</v>
      </c>
      <c r="C79" s="14" t="s">
        <v>491</v>
      </c>
      <c r="D79" s="119" t="s">
        <v>469</v>
      </c>
      <c r="E79" s="120" t="s">
        <v>492</v>
      </c>
      <c r="F79" s="119" t="s">
        <v>178</v>
      </c>
      <c r="G79" s="119" t="s">
        <v>465</v>
      </c>
      <c r="H79" s="121" t="s">
        <v>493</v>
      </c>
      <c r="I79" s="119" t="str">
        <f t="shared" si="1"/>
        <v>NGC 2264 Christmas Tree / Cone Nebula</v>
      </c>
    </row>
    <row r="80" spans="1:9" ht="16.5" customHeight="1">
      <c r="A80" s="119" t="s">
        <v>494</v>
      </c>
      <c r="B80" s="119" t="s">
        <v>495</v>
      </c>
      <c r="C80" s="14" t="s">
        <v>496</v>
      </c>
      <c r="D80" s="119">
        <v>8.5</v>
      </c>
      <c r="E80" s="120" t="s">
        <v>140</v>
      </c>
      <c r="F80" s="119" t="s">
        <v>178</v>
      </c>
      <c r="G80" s="119" t="s">
        <v>271</v>
      </c>
      <c r="H80" s="121"/>
      <c r="I80" s="119" t="str">
        <f t="shared" si="1"/>
        <v>NGC 2194 Open Cluster</v>
      </c>
    </row>
    <row r="81" spans="1:9" ht="16.5" customHeight="1">
      <c r="A81" s="119" t="s">
        <v>497</v>
      </c>
      <c r="B81" s="119" t="s">
        <v>498</v>
      </c>
      <c r="C81" s="14" t="s">
        <v>499</v>
      </c>
      <c r="D81" s="119" t="s">
        <v>500</v>
      </c>
      <c r="E81" s="120" t="s">
        <v>410</v>
      </c>
      <c r="F81" s="119" t="s">
        <v>178</v>
      </c>
      <c r="G81" s="119" t="s">
        <v>342</v>
      </c>
      <c r="H81" s="121" t="s">
        <v>501</v>
      </c>
      <c r="I81" s="119" t="str">
        <f t="shared" si="1"/>
        <v>NGC 2169 37 Cluster</v>
      </c>
    </row>
    <row r="82" spans="1:9" ht="16.5" customHeight="1">
      <c r="A82" s="119" t="s">
        <v>502</v>
      </c>
      <c r="B82" s="119" t="s">
        <v>503</v>
      </c>
      <c r="C82" s="14" t="s">
        <v>504</v>
      </c>
      <c r="D82" s="119" t="s">
        <v>505</v>
      </c>
      <c r="E82" s="120" t="s">
        <v>506</v>
      </c>
      <c r="F82" s="119" t="s">
        <v>317</v>
      </c>
      <c r="G82" s="119" t="s">
        <v>507</v>
      </c>
      <c r="H82" s="121"/>
      <c r="I82" s="119" t="str">
        <f t="shared" si="1"/>
        <v>NGC 2174 Bright Nebula</v>
      </c>
    </row>
    <row r="83" spans="1:9" ht="16.5" customHeight="1">
      <c r="A83" s="119" t="s">
        <v>508</v>
      </c>
      <c r="B83" s="119" t="s">
        <v>509</v>
      </c>
      <c r="C83" s="14" t="s">
        <v>510</v>
      </c>
      <c r="D83" s="119" t="s">
        <v>511</v>
      </c>
      <c r="E83" s="120" t="s">
        <v>512</v>
      </c>
      <c r="F83" s="119" t="s">
        <v>161</v>
      </c>
      <c r="G83" s="119" t="s">
        <v>507</v>
      </c>
      <c r="H83" s="121" t="s">
        <v>513</v>
      </c>
      <c r="I83" s="119" t="str">
        <f t="shared" si="1"/>
        <v>NGC 2392 Eskimo Nebula or Clown Face</v>
      </c>
    </row>
    <row r="84" spans="1:9" ht="16.5" customHeight="1">
      <c r="A84" s="122" t="s">
        <v>514</v>
      </c>
      <c r="B84" s="119" t="s">
        <v>515</v>
      </c>
      <c r="C84" s="14" t="s">
        <v>516</v>
      </c>
      <c r="D84" s="123">
        <v>5.1</v>
      </c>
      <c r="E84" s="119" t="s">
        <v>517</v>
      </c>
      <c r="F84" s="119" t="s">
        <v>178</v>
      </c>
      <c r="G84" s="119" t="s">
        <v>507</v>
      </c>
      <c r="H84" s="121"/>
      <c r="I84" s="119" t="str">
        <f t="shared" si="1"/>
        <v>M35 Open Cluster</v>
      </c>
    </row>
    <row r="85" spans="1:9" ht="16.5" customHeight="1">
      <c r="A85" s="119" t="s">
        <v>518</v>
      </c>
      <c r="B85" s="119" t="s">
        <v>519</v>
      </c>
      <c r="C85" s="14" t="s">
        <v>520</v>
      </c>
      <c r="D85" s="119" t="s">
        <v>511</v>
      </c>
      <c r="E85" s="120" t="s">
        <v>224</v>
      </c>
      <c r="F85" s="119" t="s">
        <v>178</v>
      </c>
      <c r="G85" s="119" t="s">
        <v>507</v>
      </c>
      <c r="H85" s="121"/>
      <c r="I85" s="119" t="str">
        <f t="shared" si="1"/>
        <v>NGC 2158 Open Cluster</v>
      </c>
    </row>
    <row r="86" spans="1:9" ht="16.5" customHeight="1">
      <c r="A86" s="119" t="s">
        <v>521</v>
      </c>
      <c r="B86" s="119" t="s">
        <v>522</v>
      </c>
      <c r="C86" s="14" t="s">
        <v>523</v>
      </c>
      <c r="D86" s="119">
        <v>9.5</v>
      </c>
      <c r="E86" s="120" t="s">
        <v>524</v>
      </c>
      <c r="F86" s="119" t="s">
        <v>178</v>
      </c>
      <c r="G86" s="119" t="s">
        <v>507</v>
      </c>
      <c r="H86" s="121" t="s">
        <v>525</v>
      </c>
      <c r="I86" s="119" t="str">
        <f t="shared" si="1"/>
        <v>NGC 2266 Striking Colors</v>
      </c>
    </row>
    <row r="87" spans="1:9" ht="16.5" customHeight="1">
      <c r="A87" s="119" t="s">
        <v>526</v>
      </c>
      <c r="B87" s="119" t="s">
        <v>527</v>
      </c>
      <c r="C87" s="14" t="s">
        <v>528</v>
      </c>
      <c r="D87" s="119" t="s">
        <v>529</v>
      </c>
      <c r="E87" s="120" t="s">
        <v>530</v>
      </c>
      <c r="F87" s="119" t="s">
        <v>135</v>
      </c>
      <c r="G87" s="119" t="s">
        <v>312</v>
      </c>
      <c r="H87" s="121"/>
      <c r="I87" s="119" t="str">
        <f t="shared" si="1"/>
        <v>NGC 2403 Galaxy</v>
      </c>
    </row>
    <row r="88" spans="1:9" ht="16.5" customHeight="1">
      <c r="A88" s="119" t="s">
        <v>531</v>
      </c>
      <c r="B88" s="119" t="s">
        <v>532</v>
      </c>
      <c r="C88" s="14" t="s">
        <v>533</v>
      </c>
      <c r="D88" s="119">
        <v>6.5</v>
      </c>
      <c r="E88" s="120" t="s">
        <v>438</v>
      </c>
      <c r="F88" s="119" t="s">
        <v>178</v>
      </c>
      <c r="G88" s="119" t="s">
        <v>429</v>
      </c>
      <c r="H88" s="121"/>
      <c r="I88" s="119" t="str">
        <f t="shared" si="1"/>
        <v>NGC 2539 Open Cluster</v>
      </c>
    </row>
    <row r="89" spans="1:9" ht="16.5" customHeight="1">
      <c r="A89" s="122" t="s">
        <v>534</v>
      </c>
      <c r="B89" s="119" t="s">
        <v>535</v>
      </c>
      <c r="C89" s="14" t="s">
        <v>536</v>
      </c>
      <c r="D89" s="123">
        <v>5.8</v>
      </c>
      <c r="E89" s="119" t="s">
        <v>537</v>
      </c>
      <c r="F89" s="119" t="s">
        <v>178</v>
      </c>
      <c r="G89" s="119" t="s">
        <v>538</v>
      </c>
      <c r="H89" s="121"/>
      <c r="I89" s="119" t="str">
        <f t="shared" si="1"/>
        <v>M48 Open Cluster</v>
      </c>
    </row>
    <row r="90" spans="1:9" ht="16.5" customHeight="1">
      <c r="A90" s="122" t="s">
        <v>539</v>
      </c>
      <c r="B90" s="119" t="s">
        <v>540</v>
      </c>
      <c r="C90" s="14" t="s">
        <v>541</v>
      </c>
      <c r="D90" s="123">
        <v>6.9</v>
      </c>
      <c r="E90" s="119" t="s">
        <v>452</v>
      </c>
      <c r="F90" s="119" t="s">
        <v>178</v>
      </c>
      <c r="G90" s="119" t="s">
        <v>424</v>
      </c>
      <c r="H90" s="121"/>
      <c r="I90" s="119" t="str">
        <f t="shared" si="1"/>
        <v>M67 Open Cluster</v>
      </c>
    </row>
    <row r="91" spans="1:9" ht="16.5" customHeight="1">
      <c r="A91" s="122" t="s">
        <v>542</v>
      </c>
      <c r="B91" s="119" t="s">
        <v>543</v>
      </c>
      <c r="C91" s="14" t="s">
        <v>544</v>
      </c>
      <c r="D91" s="123">
        <v>3.1</v>
      </c>
      <c r="E91" s="119" t="s">
        <v>545</v>
      </c>
      <c r="F91" s="119" t="s">
        <v>178</v>
      </c>
      <c r="G91" s="119" t="s">
        <v>424</v>
      </c>
      <c r="H91" s="121" t="s">
        <v>546</v>
      </c>
      <c r="I91" s="119" t="str">
        <f t="shared" si="1"/>
        <v>M44 Praesepe, Beehive Cluster</v>
      </c>
    </row>
    <row r="92" spans="1:9" ht="16.5" customHeight="1">
      <c r="A92" s="119" t="s">
        <v>547</v>
      </c>
      <c r="B92" s="119" t="s">
        <v>548</v>
      </c>
      <c r="C92" s="14" t="s">
        <v>549</v>
      </c>
      <c r="D92" s="119" t="s">
        <v>550</v>
      </c>
      <c r="E92" s="120" t="s">
        <v>551</v>
      </c>
      <c r="F92" s="119" t="s">
        <v>135</v>
      </c>
      <c r="G92" s="119" t="s">
        <v>552</v>
      </c>
      <c r="H92" s="121"/>
      <c r="I92" s="119" t="str">
        <f t="shared" si="1"/>
        <v>NGC 2903 Galaxy</v>
      </c>
    </row>
    <row r="93" spans="1:9" ht="16.5" customHeight="1">
      <c r="A93" s="122" t="s">
        <v>553</v>
      </c>
      <c r="B93" s="119" t="s">
        <v>554</v>
      </c>
      <c r="C93" s="14" t="s">
        <v>555</v>
      </c>
      <c r="D93" s="124">
        <v>5.5</v>
      </c>
      <c r="E93" s="119" t="s">
        <v>556</v>
      </c>
      <c r="F93" s="119" t="s">
        <v>557</v>
      </c>
      <c r="G93" s="119" t="s">
        <v>424</v>
      </c>
      <c r="H93" s="121" t="s">
        <v>558</v>
      </c>
      <c r="I93" s="119" t="str">
        <f t="shared" si="1"/>
        <v>SAO 61146 Sigma 2 (59) "Rooney"</v>
      </c>
    </row>
    <row r="94" spans="1:9" ht="16.5" customHeight="1">
      <c r="A94" s="119" t="s">
        <v>559</v>
      </c>
      <c r="B94" s="119" t="s">
        <v>560</v>
      </c>
      <c r="C94" s="14" t="s">
        <v>561</v>
      </c>
      <c r="D94" s="119" t="s">
        <v>562</v>
      </c>
      <c r="E94" s="120" t="s">
        <v>563</v>
      </c>
      <c r="F94" s="119" t="s">
        <v>135</v>
      </c>
      <c r="G94" s="119" t="s">
        <v>564</v>
      </c>
      <c r="H94" s="121"/>
      <c r="I94" s="119" t="str">
        <f t="shared" si="1"/>
        <v>NGC 2841 Galaxy</v>
      </c>
    </row>
    <row r="95" spans="1:9" ht="16.5" customHeight="1">
      <c r="A95" s="122" t="s">
        <v>565</v>
      </c>
      <c r="B95" s="119" t="s">
        <v>566</v>
      </c>
      <c r="C95" s="14" t="s">
        <v>567</v>
      </c>
      <c r="D95" s="123">
        <v>6.9</v>
      </c>
      <c r="E95" s="119" t="s">
        <v>568</v>
      </c>
      <c r="F95" s="119" t="s">
        <v>135</v>
      </c>
      <c r="G95" s="119" t="s">
        <v>564</v>
      </c>
      <c r="H95" s="121" t="s">
        <v>569</v>
      </c>
      <c r="I95" s="119" t="str">
        <f t="shared" si="1"/>
        <v>M81 Bode's Galaxy</v>
      </c>
    </row>
    <row r="96" spans="1:9" ht="16.5" customHeight="1">
      <c r="A96" s="122" t="s">
        <v>570</v>
      </c>
      <c r="B96" s="119" t="s">
        <v>571</v>
      </c>
      <c r="C96" s="14" t="s">
        <v>572</v>
      </c>
      <c r="D96" s="123">
        <v>8.4</v>
      </c>
      <c r="E96" s="119" t="s">
        <v>573</v>
      </c>
      <c r="F96" s="119" t="s">
        <v>135</v>
      </c>
      <c r="G96" s="119" t="s">
        <v>564</v>
      </c>
      <c r="H96" s="121"/>
      <c r="I96" s="119" t="str">
        <f t="shared" si="1"/>
        <v>M82 Galaxy</v>
      </c>
    </row>
    <row r="97" spans="1:9" ht="16.5" customHeight="1">
      <c r="A97" s="119" t="s">
        <v>574</v>
      </c>
      <c r="B97" s="119" t="s">
        <v>575</v>
      </c>
      <c r="C97" s="14" t="s">
        <v>576</v>
      </c>
      <c r="D97" s="119" t="s">
        <v>295</v>
      </c>
      <c r="E97" s="120" t="s">
        <v>229</v>
      </c>
      <c r="F97" s="119" t="s">
        <v>178</v>
      </c>
      <c r="G97" s="119" t="s">
        <v>577</v>
      </c>
      <c r="H97" s="121"/>
      <c r="I97" s="119" t="str">
        <f t="shared" si="1"/>
        <v>NGC 3766 Open Cluster</v>
      </c>
    </row>
    <row r="98" spans="1:9" ht="16.5" customHeight="1">
      <c r="A98" s="119" t="s">
        <v>578</v>
      </c>
      <c r="B98" s="119" t="s">
        <v>579</v>
      </c>
      <c r="C98" s="14" t="s">
        <v>580</v>
      </c>
      <c r="D98" s="119" t="s">
        <v>581</v>
      </c>
      <c r="E98" s="120" t="s">
        <v>582</v>
      </c>
      <c r="F98" s="119" t="s">
        <v>317</v>
      </c>
      <c r="G98" s="119" t="s">
        <v>583</v>
      </c>
      <c r="H98" s="121" t="s">
        <v>584</v>
      </c>
      <c r="I98" s="119" t="str">
        <f t="shared" si="1"/>
        <v>NGC 3372 Eta Carina Nebula</v>
      </c>
    </row>
    <row r="99" spans="1:9" ht="16.5" customHeight="1">
      <c r="A99" s="119" t="s">
        <v>585</v>
      </c>
      <c r="B99" s="119" t="s">
        <v>586</v>
      </c>
      <c r="C99" s="14" t="s">
        <v>587</v>
      </c>
      <c r="D99" s="119" t="s">
        <v>588</v>
      </c>
      <c r="E99" s="120" t="s">
        <v>589</v>
      </c>
      <c r="F99" s="119" t="s">
        <v>178</v>
      </c>
      <c r="G99" s="119" t="s">
        <v>590</v>
      </c>
      <c r="H99" s="121"/>
      <c r="I99" s="119" t="str">
        <f t="shared" si="1"/>
        <v>NGC 3532 Open Cluster</v>
      </c>
    </row>
    <row r="100" spans="1:9" ht="16.5" customHeight="1">
      <c r="A100" s="119" t="s">
        <v>591</v>
      </c>
      <c r="B100" s="119" t="s">
        <v>592</v>
      </c>
      <c r="C100" s="14" t="s">
        <v>593</v>
      </c>
      <c r="D100" s="119" t="s">
        <v>594</v>
      </c>
      <c r="E100" s="120" t="s">
        <v>595</v>
      </c>
      <c r="F100" s="119" t="s">
        <v>161</v>
      </c>
      <c r="G100" s="119" t="s">
        <v>596</v>
      </c>
      <c r="H100" s="121" t="s">
        <v>597</v>
      </c>
      <c r="I100" s="119" t="str">
        <f t="shared" si="1"/>
        <v>NGC 3132 Eight-Burst Nebula</v>
      </c>
    </row>
    <row r="101" spans="1:9" ht="16.5" customHeight="1">
      <c r="A101" s="119" t="s">
        <v>598</v>
      </c>
      <c r="B101" s="119" t="s">
        <v>599</v>
      </c>
      <c r="C101" s="14" t="s">
        <v>600</v>
      </c>
      <c r="D101" s="119">
        <v>7.8</v>
      </c>
      <c r="E101" s="120" t="s">
        <v>601</v>
      </c>
      <c r="F101" s="119" t="s">
        <v>161</v>
      </c>
      <c r="G101" s="119" t="s">
        <v>538</v>
      </c>
      <c r="H101" s="121" t="s">
        <v>602</v>
      </c>
      <c r="I101" s="119" t="str">
        <f t="shared" si="1"/>
        <v>NGC 3242 Ghost of Jupiter</v>
      </c>
    </row>
    <row r="102" spans="1:9" ht="16.5" customHeight="1">
      <c r="A102" s="119" t="s">
        <v>603</v>
      </c>
      <c r="B102" s="119" t="s">
        <v>604</v>
      </c>
      <c r="C102" s="14" t="s">
        <v>605</v>
      </c>
      <c r="D102" s="119" t="s">
        <v>606</v>
      </c>
      <c r="E102" s="120" t="s">
        <v>607</v>
      </c>
      <c r="F102" s="119" t="s">
        <v>135</v>
      </c>
      <c r="G102" s="119" t="s">
        <v>608</v>
      </c>
      <c r="H102" s="121" t="s">
        <v>609</v>
      </c>
      <c r="I102" s="119" t="str">
        <f t="shared" si="1"/>
        <v>NGC 3115 Spindle Gal</v>
      </c>
    </row>
    <row r="103" spans="1:9" ht="16.5" customHeight="1">
      <c r="A103" s="122" t="s">
        <v>610</v>
      </c>
      <c r="B103" s="119" t="s">
        <v>611</v>
      </c>
      <c r="C103" s="14" t="s">
        <v>612</v>
      </c>
      <c r="D103" s="123">
        <v>9.7</v>
      </c>
      <c r="E103" s="119" t="s">
        <v>613</v>
      </c>
      <c r="F103" s="119" t="s">
        <v>135</v>
      </c>
      <c r="G103" s="119" t="s">
        <v>552</v>
      </c>
      <c r="H103" s="121"/>
      <c r="I103" s="119" t="str">
        <f t="shared" si="1"/>
        <v>M95 Galaxy</v>
      </c>
    </row>
    <row r="104" spans="1:9" ht="16.5" customHeight="1">
      <c r="A104" s="122" t="s">
        <v>614</v>
      </c>
      <c r="B104" s="119" t="s">
        <v>615</v>
      </c>
      <c r="C104" s="14" t="s">
        <v>541</v>
      </c>
      <c r="D104" s="123">
        <v>9.2</v>
      </c>
      <c r="E104" s="119" t="s">
        <v>387</v>
      </c>
      <c r="F104" s="119" t="s">
        <v>135</v>
      </c>
      <c r="G104" s="119" t="s">
        <v>552</v>
      </c>
      <c r="H104" s="121"/>
      <c r="I104" s="119" t="str">
        <f t="shared" si="1"/>
        <v>M96 Galaxy</v>
      </c>
    </row>
    <row r="105" spans="1:9" ht="16.5" customHeight="1">
      <c r="A105" s="122" t="s">
        <v>616</v>
      </c>
      <c r="B105" s="119" t="s">
        <v>617</v>
      </c>
      <c r="C105" s="14" t="s">
        <v>618</v>
      </c>
      <c r="D105" s="123">
        <v>9</v>
      </c>
      <c r="E105" s="119" t="s">
        <v>619</v>
      </c>
      <c r="F105" s="119" t="s">
        <v>135</v>
      </c>
      <c r="G105" s="119" t="s">
        <v>552</v>
      </c>
      <c r="H105" s="121"/>
      <c r="I105" s="119" t="str">
        <f t="shared" si="1"/>
        <v>M66 Galaxy</v>
      </c>
    </row>
    <row r="106" spans="1:9" ht="16.5" customHeight="1">
      <c r="A106" s="122" t="s">
        <v>620</v>
      </c>
      <c r="B106" s="119" t="s">
        <v>621</v>
      </c>
      <c r="C106" s="14" t="s">
        <v>622</v>
      </c>
      <c r="D106" s="123">
        <v>9.3</v>
      </c>
      <c r="E106" s="119" t="s">
        <v>393</v>
      </c>
      <c r="F106" s="119" t="s">
        <v>135</v>
      </c>
      <c r="G106" s="119" t="s">
        <v>552</v>
      </c>
      <c r="H106" s="121"/>
      <c r="I106" s="119" t="str">
        <f t="shared" si="1"/>
        <v>M105 Galaxy</v>
      </c>
    </row>
    <row r="107" spans="1:9" ht="16.5" customHeight="1">
      <c r="A107" s="122" t="s">
        <v>623</v>
      </c>
      <c r="B107" s="119" t="s">
        <v>624</v>
      </c>
      <c r="C107" s="14" t="s">
        <v>625</v>
      </c>
      <c r="D107" s="123">
        <v>9.3</v>
      </c>
      <c r="E107" s="119" t="s">
        <v>626</v>
      </c>
      <c r="F107" s="119" t="s">
        <v>135</v>
      </c>
      <c r="G107" s="119" t="s">
        <v>552</v>
      </c>
      <c r="H107" s="121"/>
      <c r="I107" s="119" t="str">
        <f t="shared" si="1"/>
        <v>M65 Galaxy</v>
      </c>
    </row>
    <row r="108" spans="1:9" ht="16.5" customHeight="1">
      <c r="A108" s="122" t="s">
        <v>627</v>
      </c>
      <c r="B108" s="119" t="s">
        <v>628</v>
      </c>
      <c r="C108" s="125" t="s">
        <v>629</v>
      </c>
      <c r="D108" s="123">
        <v>9</v>
      </c>
      <c r="E108" s="119" t="s">
        <v>630</v>
      </c>
      <c r="F108" s="119" t="s">
        <v>135</v>
      </c>
      <c r="G108" s="119" t="s">
        <v>552</v>
      </c>
      <c r="H108" s="121"/>
      <c r="I108" s="119" t="str">
        <f t="shared" si="1"/>
        <v>NGC 3628 Galaxy</v>
      </c>
    </row>
    <row r="109" spans="1:9" ht="16.5" customHeight="1">
      <c r="A109" s="119" t="s">
        <v>631</v>
      </c>
      <c r="B109" s="119" t="s">
        <v>632</v>
      </c>
      <c r="C109" s="14" t="s">
        <v>633</v>
      </c>
      <c r="D109" s="119" t="s">
        <v>456</v>
      </c>
      <c r="E109" s="120" t="s">
        <v>634</v>
      </c>
      <c r="F109" s="119" t="s">
        <v>135</v>
      </c>
      <c r="G109" s="119" t="s">
        <v>564</v>
      </c>
      <c r="H109" s="121"/>
      <c r="I109" s="119" t="str">
        <f t="shared" si="1"/>
        <v>NGC 3877 Galaxy</v>
      </c>
    </row>
    <row r="110" spans="1:9" ht="16.5" customHeight="1">
      <c r="A110" s="122" t="s">
        <v>635</v>
      </c>
      <c r="B110" s="119" t="s">
        <v>636</v>
      </c>
      <c r="C110" s="14" t="s">
        <v>637</v>
      </c>
      <c r="D110" s="123">
        <v>9.8</v>
      </c>
      <c r="E110" s="119" t="s">
        <v>638</v>
      </c>
      <c r="F110" s="119" t="s">
        <v>135</v>
      </c>
      <c r="G110" s="119" t="s">
        <v>564</v>
      </c>
      <c r="H110" s="121"/>
      <c r="I110" s="119" t="str">
        <f t="shared" si="1"/>
        <v>M109 Galaxy</v>
      </c>
    </row>
    <row r="111" spans="1:9" ht="16.5" customHeight="1">
      <c r="A111" s="122" t="s">
        <v>639</v>
      </c>
      <c r="B111" s="119" t="s">
        <v>640</v>
      </c>
      <c r="C111" s="14" t="s">
        <v>641</v>
      </c>
      <c r="D111" s="124">
        <v>12</v>
      </c>
      <c r="E111" s="119" t="s">
        <v>642</v>
      </c>
      <c r="F111" s="119" t="s">
        <v>161</v>
      </c>
      <c r="G111" s="119" t="s">
        <v>564</v>
      </c>
      <c r="H111" s="121" t="s">
        <v>643</v>
      </c>
      <c r="I111" s="119" t="str">
        <f t="shared" si="1"/>
        <v>M97 Owl Nebula</v>
      </c>
    </row>
    <row r="112" spans="1:9" ht="16.5" customHeight="1">
      <c r="A112" s="122" t="s">
        <v>644</v>
      </c>
      <c r="B112" s="119" t="s">
        <v>645</v>
      </c>
      <c r="C112" s="14" t="s">
        <v>646</v>
      </c>
      <c r="D112" s="123">
        <v>10.1</v>
      </c>
      <c r="E112" s="119" t="s">
        <v>647</v>
      </c>
      <c r="F112" s="119" t="s">
        <v>135</v>
      </c>
      <c r="G112" s="119" t="s">
        <v>564</v>
      </c>
      <c r="H112" s="121"/>
      <c r="I112" s="119" t="str">
        <f t="shared" si="1"/>
        <v>M108 Galaxy</v>
      </c>
    </row>
    <row r="113" spans="1:9" ht="16.5" customHeight="1">
      <c r="A113" s="119" t="s">
        <v>648</v>
      </c>
      <c r="B113" s="119" t="s">
        <v>649</v>
      </c>
      <c r="C113" s="14" t="s">
        <v>650</v>
      </c>
      <c r="D113" s="119" t="s">
        <v>651</v>
      </c>
      <c r="E113" s="120" t="s">
        <v>652</v>
      </c>
      <c r="F113" s="119" t="s">
        <v>178</v>
      </c>
      <c r="G113" s="119" t="s">
        <v>653</v>
      </c>
      <c r="H113" s="121" t="s">
        <v>654</v>
      </c>
      <c r="I113" s="119" t="str">
        <f t="shared" si="1"/>
        <v>NGC 4755 Jewel Box / Kappa Crucis</v>
      </c>
    </row>
    <row r="114" spans="1:9" ht="16.5" customHeight="1">
      <c r="A114" s="119" t="s">
        <v>655</v>
      </c>
      <c r="B114" s="119" t="s">
        <v>656</v>
      </c>
      <c r="C114" s="14" t="s">
        <v>657</v>
      </c>
      <c r="D114" s="119" t="s">
        <v>658</v>
      </c>
      <c r="E114" s="120" t="s">
        <v>659</v>
      </c>
      <c r="F114" s="119" t="s">
        <v>128</v>
      </c>
      <c r="G114" s="119" t="s">
        <v>577</v>
      </c>
      <c r="H114" s="121" t="s">
        <v>660</v>
      </c>
      <c r="I114" s="119" t="str">
        <f t="shared" si="1"/>
        <v>NGC 5139 Omega Centauri</v>
      </c>
    </row>
    <row r="115" spans="1:9" ht="16.5" customHeight="1">
      <c r="A115" s="119" t="s">
        <v>661</v>
      </c>
      <c r="B115" s="119" t="s">
        <v>662</v>
      </c>
      <c r="C115" s="14" t="s">
        <v>663</v>
      </c>
      <c r="D115" s="123">
        <v>7</v>
      </c>
      <c r="E115" s="120" t="s">
        <v>664</v>
      </c>
      <c r="F115" s="119" t="s">
        <v>135</v>
      </c>
      <c r="G115" s="119" t="s">
        <v>577</v>
      </c>
      <c r="H115" s="121" t="s">
        <v>665</v>
      </c>
      <c r="I115" s="119" t="str">
        <f t="shared" si="1"/>
        <v>NGC 5128 Centaurus A</v>
      </c>
    </row>
    <row r="116" spans="1:9" ht="16.5" customHeight="1">
      <c r="A116" s="122" t="s">
        <v>666</v>
      </c>
      <c r="B116" s="119" t="s">
        <v>667</v>
      </c>
      <c r="C116" s="14" t="s">
        <v>668</v>
      </c>
      <c r="D116" s="123">
        <v>7.5</v>
      </c>
      <c r="E116" s="119" t="s">
        <v>669</v>
      </c>
      <c r="F116" s="119" t="s">
        <v>135</v>
      </c>
      <c r="G116" s="119" t="s">
        <v>538</v>
      </c>
      <c r="H116" s="121"/>
      <c r="I116" s="119" t="str">
        <f t="shared" si="1"/>
        <v>M83 Galaxy</v>
      </c>
    </row>
    <row r="117" spans="1:9" ht="16.5" customHeight="1">
      <c r="A117" s="122" t="s">
        <v>670</v>
      </c>
      <c r="B117" s="119" t="s">
        <v>671</v>
      </c>
      <c r="C117" s="14" t="s">
        <v>672</v>
      </c>
      <c r="D117" s="123">
        <v>8.2</v>
      </c>
      <c r="E117" s="119" t="s">
        <v>402</v>
      </c>
      <c r="F117" s="119" t="s">
        <v>128</v>
      </c>
      <c r="G117" s="119" t="s">
        <v>538</v>
      </c>
      <c r="H117" s="121"/>
      <c r="I117" s="119" t="str">
        <f t="shared" si="1"/>
        <v>M68 Globular Cluster</v>
      </c>
    </row>
    <row r="118" spans="1:9" ht="16.5" customHeight="1">
      <c r="A118" s="119" t="s">
        <v>673</v>
      </c>
      <c r="B118" s="119" t="s">
        <v>674</v>
      </c>
      <c r="C118" s="14" t="s">
        <v>675</v>
      </c>
      <c r="D118" s="119" t="s">
        <v>676</v>
      </c>
      <c r="E118" s="120" t="s">
        <v>677</v>
      </c>
      <c r="F118" s="119" t="s">
        <v>135</v>
      </c>
      <c r="G118" s="119" t="s">
        <v>678</v>
      </c>
      <c r="H118" s="121" t="s">
        <v>679</v>
      </c>
      <c r="I118" s="119" t="str">
        <f t="shared" si="1"/>
        <v>NGC 4038 Antennae / Ringtail Galaxy</v>
      </c>
    </row>
    <row r="119" spans="1:9" ht="16.5" customHeight="1">
      <c r="A119" s="119" t="s">
        <v>680</v>
      </c>
      <c r="B119" s="119" t="s">
        <v>681</v>
      </c>
      <c r="C119" s="14" t="s">
        <v>682</v>
      </c>
      <c r="D119" s="119" t="s">
        <v>683</v>
      </c>
      <c r="E119" s="120" t="s">
        <v>684</v>
      </c>
      <c r="F119" s="119" t="s">
        <v>135</v>
      </c>
      <c r="G119" s="119" t="s">
        <v>678</v>
      </c>
      <c r="H119" s="121" t="s">
        <v>685</v>
      </c>
      <c r="I119" s="119" t="str">
        <f t="shared" si="1"/>
        <v>NGC 4039 The Antennae</v>
      </c>
    </row>
    <row r="120" spans="1:9" ht="16.5" customHeight="1">
      <c r="A120" s="119" t="s">
        <v>686</v>
      </c>
      <c r="B120" s="119" t="s">
        <v>687</v>
      </c>
      <c r="C120" s="14" t="s">
        <v>688</v>
      </c>
      <c r="D120" s="119" t="s">
        <v>676</v>
      </c>
      <c r="E120" s="120" t="s">
        <v>689</v>
      </c>
      <c r="F120" s="119" t="s">
        <v>161</v>
      </c>
      <c r="G120" s="119" t="s">
        <v>678</v>
      </c>
      <c r="H120" s="121"/>
      <c r="I120" s="119" t="str">
        <f t="shared" si="1"/>
        <v>NGC 4361 Planetary Nebula</v>
      </c>
    </row>
    <row r="121" spans="1:9" ht="16.5" customHeight="1">
      <c r="A121" s="122" t="s">
        <v>690</v>
      </c>
      <c r="B121" s="119" t="s">
        <v>691</v>
      </c>
      <c r="C121" s="14" t="s">
        <v>692</v>
      </c>
      <c r="D121" s="123">
        <v>8.3</v>
      </c>
      <c r="E121" s="119" t="s">
        <v>573</v>
      </c>
      <c r="F121" s="119" t="s">
        <v>135</v>
      </c>
      <c r="G121" s="119" t="s">
        <v>693</v>
      </c>
      <c r="H121" s="121" t="s">
        <v>694</v>
      </c>
      <c r="I121" s="119" t="str">
        <f t="shared" si="1"/>
        <v>M104 Sombrero Galaxy</v>
      </c>
    </row>
    <row r="122" spans="1:9" ht="16.5" customHeight="1">
      <c r="A122" s="119" t="s">
        <v>695</v>
      </c>
      <c r="B122" s="119" t="s">
        <v>696</v>
      </c>
      <c r="C122" s="14" t="s">
        <v>697</v>
      </c>
      <c r="D122" s="124" t="s">
        <v>698</v>
      </c>
      <c r="E122" s="120"/>
      <c r="F122" s="119" t="s">
        <v>699</v>
      </c>
      <c r="G122" s="119" t="s">
        <v>693</v>
      </c>
      <c r="H122" s="121"/>
      <c r="I122" s="119" t="str">
        <f t="shared" si="1"/>
        <v>3C 273 Quasar</v>
      </c>
    </row>
    <row r="123" spans="1:9" ht="16.5" customHeight="1">
      <c r="A123" s="122" t="s">
        <v>700</v>
      </c>
      <c r="B123" s="119" t="s">
        <v>701</v>
      </c>
      <c r="C123" s="14" t="s">
        <v>702</v>
      </c>
      <c r="D123" s="123">
        <v>9.7</v>
      </c>
      <c r="E123" s="119" t="s">
        <v>703</v>
      </c>
      <c r="F123" s="119" t="s">
        <v>135</v>
      </c>
      <c r="G123" s="119" t="s">
        <v>693</v>
      </c>
      <c r="H123" s="121"/>
      <c r="I123" s="119" t="str">
        <f t="shared" si="1"/>
        <v>M61 Galaxy</v>
      </c>
    </row>
    <row r="124" spans="1:9" ht="16.5" customHeight="1">
      <c r="A124" s="119" t="s">
        <v>704</v>
      </c>
      <c r="B124" s="119" t="s">
        <v>705</v>
      </c>
      <c r="C124" s="14" t="s">
        <v>706</v>
      </c>
      <c r="D124" s="119" t="s">
        <v>707</v>
      </c>
      <c r="E124" s="120" t="s">
        <v>708</v>
      </c>
      <c r="F124" s="119" t="s">
        <v>135</v>
      </c>
      <c r="G124" s="119" t="s">
        <v>693</v>
      </c>
      <c r="H124" s="121" t="s">
        <v>709</v>
      </c>
      <c r="I124" s="119" t="str">
        <f t="shared" si="1"/>
        <v>NGC 4526 Lost Galaxy</v>
      </c>
    </row>
    <row r="125" spans="1:9" ht="16.5" customHeight="1">
      <c r="A125" s="122" t="s">
        <v>710</v>
      </c>
      <c r="B125" s="119" t="s">
        <v>711</v>
      </c>
      <c r="C125" s="14" t="s">
        <v>712</v>
      </c>
      <c r="D125" s="123">
        <v>8.4</v>
      </c>
      <c r="E125" s="119" t="s">
        <v>713</v>
      </c>
      <c r="F125" s="119" t="s">
        <v>135</v>
      </c>
      <c r="G125" s="119" t="s">
        <v>693</v>
      </c>
      <c r="H125" s="121"/>
      <c r="I125" s="119" t="str">
        <f t="shared" si="1"/>
        <v>M49 Galaxy</v>
      </c>
    </row>
    <row r="126" spans="1:9" ht="16.5" customHeight="1">
      <c r="A126" s="122" t="s">
        <v>714</v>
      </c>
      <c r="B126" s="119" t="s">
        <v>715</v>
      </c>
      <c r="C126" s="14" t="s">
        <v>541</v>
      </c>
      <c r="D126" s="123">
        <v>9.8</v>
      </c>
      <c r="E126" s="119" t="s">
        <v>716</v>
      </c>
      <c r="F126" s="119" t="s">
        <v>135</v>
      </c>
      <c r="G126" s="119" t="s">
        <v>693</v>
      </c>
      <c r="H126" s="121"/>
      <c r="I126" s="119" t="str">
        <f t="shared" si="1"/>
        <v>M58 Galaxy</v>
      </c>
    </row>
    <row r="127" spans="1:9" ht="16.5" customHeight="1">
      <c r="A127" s="122" t="s">
        <v>717</v>
      </c>
      <c r="B127" s="119" t="s">
        <v>718</v>
      </c>
      <c r="C127" s="14" t="s">
        <v>719</v>
      </c>
      <c r="D127" s="123">
        <v>9.8</v>
      </c>
      <c r="E127" s="119" t="s">
        <v>720</v>
      </c>
      <c r="F127" s="119" t="s">
        <v>135</v>
      </c>
      <c r="G127" s="119" t="s">
        <v>693</v>
      </c>
      <c r="H127" s="121"/>
      <c r="I127" s="119" t="str">
        <f t="shared" si="1"/>
        <v>M59 Galaxy</v>
      </c>
    </row>
    <row r="128" spans="1:9" ht="16.5" customHeight="1">
      <c r="A128" s="122" t="s">
        <v>721</v>
      </c>
      <c r="B128" s="119" t="s">
        <v>722</v>
      </c>
      <c r="C128" s="14" t="s">
        <v>723</v>
      </c>
      <c r="D128" s="123">
        <v>8.8</v>
      </c>
      <c r="E128" s="119" t="s">
        <v>266</v>
      </c>
      <c r="F128" s="119" t="s">
        <v>135</v>
      </c>
      <c r="G128" s="119" t="s">
        <v>724</v>
      </c>
      <c r="H128" s="121"/>
      <c r="I128" s="119" t="str">
        <f t="shared" si="1"/>
        <v>M60 Galaxy</v>
      </c>
    </row>
    <row r="129" spans="1:9" ht="16.5" customHeight="1">
      <c r="A129" s="119" t="s">
        <v>725</v>
      </c>
      <c r="B129" s="119" t="s">
        <v>726</v>
      </c>
      <c r="C129" s="14" t="s">
        <v>727</v>
      </c>
      <c r="D129" s="119" t="s">
        <v>728</v>
      </c>
      <c r="E129" s="120" t="s">
        <v>729</v>
      </c>
      <c r="F129" s="119" t="s">
        <v>135</v>
      </c>
      <c r="G129" s="119" t="s">
        <v>693</v>
      </c>
      <c r="H129" s="121" t="s">
        <v>730</v>
      </c>
      <c r="I129" s="119" t="str">
        <f t="shared" si="1"/>
        <v>NGC 4567 Siamese Twins</v>
      </c>
    </row>
    <row r="130" spans="1:9" ht="16.5" customHeight="1">
      <c r="A130" s="119" t="s">
        <v>731</v>
      </c>
      <c r="B130" s="119" t="s">
        <v>732</v>
      </c>
      <c r="C130" s="14" t="s">
        <v>733</v>
      </c>
      <c r="D130" s="119" t="s">
        <v>734</v>
      </c>
      <c r="E130" s="120" t="s">
        <v>735</v>
      </c>
      <c r="F130" s="119" t="s">
        <v>135</v>
      </c>
      <c r="G130" s="119" t="s">
        <v>693</v>
      </c>
      <c r="H130" s="121" t="s">
        <v>730</v>
      </c>
      <c r="I130" s="119" t="str">
        <f t="shared" si="1"/>
        <v>NGC 4568 Siamese Twins</v>
      </c>
    </row>
    <row r="131" spans="1:9" ht="16.5" customHeight="1">
      <c r="A131" s="122" t="s">
        <v>736</v>
      </c>
      <c r="B131" s="119" t="s">
        <v>737</v>
      </c>
      <c r="C131" s="14" t="s">
        <v>738</v>
      </c>
      <c r="D131" s="123">
        <v>9.3</v>
      </c>
      <c r="E131" s="119" t="s">
        <v>739</v>
      </c>
      <c r="F131" s="119" t="s">
        <v>135</v>
      </c>
      <c r="G131" s="119" t="s">
        <v>693</v>
      </c>
      <c r="H131" s="121"/>
      <c r="I131" s="119" t="str">
        <f t="shared" si="1"/>
        <v>M84 Galaxy</v>
      </c>
    </row>
    <row r="132" spans="1:9" ht="16.5" customHeight="1">
      <c r="A132" s="122" t="s">
        <v>740</v>
      </c>
      <c r="B132" s="119" t="s">
        <v>741</v>
      </c>
      <c r="C132" s="14" t="s">
        <v>742</v>
      </c>
      <c r="D132" s="123">
        <v>9.2</v>
      </c>
      <c r="E132" s="119" t="s">
        <v>743</v>
      </c>
      <c r="F132" s="119" t="s">
        <v>135</v>
      </c>
      <c r="G132" s="119" t="s">
        <v>693</v>
      </c>
      <c r="H132" s="121"/>
      <c r="I132" s="119" t="str">
        <f t="shared" si="1"/>
        <v>M86 Galaxy</v>
      </c>
    </row>
    <row r="133" spans="1:9" ht="16.5" customHeight="1">
      <c r="A133" s="122" t="s">
        <v>744</v>
      </c>
      <c r="B133" s="119" t="s">
        <v>745</v>
      </c>
      <c r="C133" s="14" t="s">
        <v>746</v>
      </c>
      <c r="D133" s="123">
        <v>8.6</v>
      </c>
      <c r="E133" s="119" t="s">
        <v>747</v>
      </c>
      <c r="F133" s="119" t="s">
        <v>135</v>
      </c>
      <c r="G133" s="119" t="s">
        <v>693</v>
      </c>
      <c r="H133" s="121" t="s">
        <v>748</v>
      </c>
      <c r="I133" s="119" t="str">
        <f aca="true" t="shared" si="2" ref="I133:I196">IF(H133&gt;0,A133&amp;" "&amp;H133,A133&amp;" "&amp;F133)</f>
        <v>M87 Virgo A</v>
      </c>
    </row>
    <row r="134" spans="1:9" ht="16.5" customHeight="1">
      <c r="A134" s="122" t="s">
        <v>749</v>
      </c>
      <c r="B134" s="119" t="s">
        <v>750</v>
      </c>
      <c r="C134" s="14" t="s">
        <v>751</v>
      </c>
      <c r="D134" s="123">
        <v>9.8</v>
      </c>
      <c r="E134" s="119" t="s">
        <v>242</v>
      </c>
      <c r="F134" s="119" t="s">
        <v>135</v>
      </c>
      <c r="G134" s="119" t="s">
        <v>693</v>
      </c>
      <c r="H134" s="121"/>
      <c r="I134" s="119" t="str">
        <f t="shared" si="2"/>
        <v>M89 Galaxy</v>
      </c>
    </row>
    <row r="135" spans="1:9" ht="16.5" customHeight="1">
      <c r="A135" s="119" t="s">
        <v>752</v>
      </c>
      <c r="B135" s="119" t="s">
        <v>753</v>
      </c>
      <c r="C135" s="14" t="s">
        <v>754</v>
      </c>
      <c r="D135" s="119"/>
      <c r="E135" s="120"/>
      <c r="F135" s="119" t="s">
        <v>755</v>
      </c>
      <c r="G135" s="119" t="s">
        <v>693</v>
      </c>
      <c r="H135" s="121"/>
      <c r="I135" s="119" t="str">
        <f t="shared" si="2"/>
        <v>Markarian's Chain Galactic Chain</v>
      </c>
    </row>
    <row r="136" spans="1:9" ht="16.5" customHeight="1">
      <c r="A136" s="122" t="s">
        <v>756</v>
      </c>
      <c r="B136" s="119" t="s">
        <v>757</v>
      </c>
      <c r="C136" s="14" t="s">
        <v>758</v>
      </c>
      <c r="D136" s="123">
        <v>9.5</v>
      </c>
      <c r="E136" s="119" t="s">
        <v>759</v>
      </c>
      <c r="F136" s="119" t="s">
        <v>135</v>
      </c>
      <c r="G136" s="119" t="s">
        <v>693</v>
      </c>
      <c r="H136" s="121"/>
      <c r="I136" s="119" t="str">
        <f t="shared" si="2"/>
        <v>M90 Galaxy</v>
      </c>
    </row>
    <row r="137" spans="1:9" ht="16.5" customHeight="1">
      <c r="A137" s="122" t="s">
        <v>760</v>
      </c>
      <c r="B137" s="119" t="s">
        <v>761</v>
      </c>
      <c r="C137" s="14" t="s">
        <v>762</v>
      </c>
      <c r="D137" s="123">
        <v>9.5</v>
      </c>
      <c r="E137" s="119" t="s">
        <v>763</v>
      </c>
      <c r="F137" s="119" t="s">
        <v>135</v>
      </c>
      <c r="G137" s="119" t="s">
        <v>764</v>
      </c>
      <c r="H137" s="121"/>
      <c r="I137" s="119" t="str">
        <f t="shared" si="2"/>
        <v>M88 Galaxy</v>
      </c>
    </row>
    <row r="138" spans="1:9" ht="16.5" customHeight="1">
      <c r="A138" s="122" t="s">
        <v>765</v>
      </c>
      <c r="B138" s="119" t="s">
        <v>766</v>
      </c>
      <c r="C138" s="14" t="s">
        <v>767</v>
      </c>
      <c r="D138" s="123">
        <v>10.2</v>
      </c>
      <c r="E138" s="119" t="s">
        <v>768</v>
      </c>
      <c r="F138" s="119" t="s">
        <v>135</v>
      </c>
      <c r="G138" s="119" t="s">
        <v>764</v>
      </c>
      <c r="H138" s="121"/>
      <c r="I138" s="119" t="str">
        <f t="shared" si="2"/>
        <v>M91 Galaxy</v>
      </c>
    </row>
    <row r="139" spans="1:9" ht="16.5" customHeight="1">
      <c r="A139" s="122" t="s">
        <v>769</v>
      </c>
      <c r="B139" s="119" t="s">
        <v>770</v>
      </c>
      <c r="C139" s="14" t="s">
        <v>771</v>
      </c>
      <c r="D139" s="123">
        <v>10.1</v>
      </c>
      <c r="E139" s="119" t="s">
        <v>772</v>
      </c>
      <c r="F139" s="119" t="s">
        <v>135</v>
      </c>
      <c r="G139" s="119" t="s">
        <v>764</v>
      </c>
      <c r="H139" s="121"/>
      <c r="I139" s="119" t="str">
        <f t="shared" si="2"/>
        <v>M98 Galaxy</v>
      </c>
    </row>
    <row r="140" spans="1:9" ht="16.5" customHeight="1">
      <c r="A140" s="122" t="s">
        <v>773</v>
      </c>
      <c r="B140" s="119" t="s">
        <v>774</v>
      </c>
      <c r="C140" s="14" t="s">
        <v>762</v>
      </c>
      <c r="D140" s="123">
        <v>9.8</v>
      </c>
      <c r="E140" s="119" t="s">
        <v>775</v>
      </c>
      <c r="F140" s="119" t="s">
        <v>135</v>
      </c>
      <c r="G140" s="119" t="s">
        <v>764</v>
      </c>
      <c r="H140" s="121"/>
      <c r="I140" s="119" t="str">
        <f t="shared" si="2"/>
        <v>M99 Galaxy</v>
      </c>
    </row>
    <row r="141" spans="1:9" ht="16.5" customHeight="1">
      <c r="A141" s="122" t="s">
        <v>776</v>
      </c>
      <c r="B141" s="119" t="s">
        <v>777</v>
      </c>
      <c r="C141" s="14" t="s">
        <v>778</v>
      </c>
      <c r="D141" s="123">
        <v>9.4</v>
      </c>
      <c r="E141" s="119" t="s">
        <v>266</v>
      </c>
      <c r="F141" s="119" t="s">
        <v>135</v>
      </c>
      <c r="G141" s="119" t="s">
        <v>764</v>
      </c>
      <c r="H141" s="121"/>
      <c r="I141" s="119" t="str">
        <f t="shared" si="2"/>
        <v>M100 Galaxy</v>
      </c>
    </row>
    <row r="142" spans="1:9" ht="16.5" customHeight="1">
      <c r="A142" s="122" t="s">
        <v>779</v>
      </c>
      <c r="B142" s="119" t="s">
        <v>780</v>
      </c>
      <c r="C142" s="14" t="s">
        <v>781</v>
      </c>
      <c r="D142" s="123">
        <v>7.7</v>
      </c>
      <c r="E142" s="119" t="s">
        <v>782</v>
      </c>
      <c r="F142" s="119" t="s">
        <v>128</v>
      </c>
      <c r="G142" s="119" t="s">
        <v>764</v>
      </c>
      <c r="H142" s="121"/>
      <c r="I142" s="119" t="str">
        <f t="shared" si="2"/>
        <v>M53 Globular Cluster</v>
      </c>
    </row>
    <row r="143" spans="1:9" ht="16.5" customHeight="1">
      <c r="A143" s="122" t="s">
        <v>783</v>
      </c>
      <c r="B143" s="119" t="s">
        <v>784</v>
      </c>
      <c r="C143" s="14" t="s">
        <v>785</v>
      </c>
      <c r="D143" s="123">
        <v>9.2</v>
      </c>
      <c r="E143" s="119" t="s">
        <v>786</v>
      </c>
      <c r="F143" s="119" t="s">
        <v>135</v>
      </c>
      <c r="G143" s="119" t="s">
        <v>764</v>
      </c>
      <c r="H143" s="121"/>
      <c r="I143" s="119" t="str">
        <f t="shared" si="2"/>
        <v>M85 Galaxy</v>
      </c>
    </row>
    <row r="144" spans="1:9" ht="16.5" customHeight="1">
      <c r="A144" s="122" t="s">
        <v>787</v>
      </c>
      <c r="B144" s="119" t="s">
        <v>788</v>
      </c>
      <c r="C144" s="14" t="s">
        <v>789</v>
      </c>
      <c r="D144" s="123">
        <v>8.5</v>
      </c>
      <c r="E144" s="119" t="s">
        <v>790</v>
      </c>
      <c r="F144" s="119" t="s">
        <v>135</v>
      </c>
      <c r="G144" s="119" t="s">
        <v>764</v>
      </c>
      <c r="H144" s="121" t="s">
        <v>791</v>
      </c>
      <c r="I144" s="119" t="str">
        <f t="shared" si="2"/>
        <v>M64 Blackeye Galaxy</v>
      </c>
    </row>
    <row r="145" spans="1:9" ht="16.5" customHeight="1">
      <c r="A145" s="119" t="s">
        <v>792</v>
      </c>
      <c r="B145" s="119" t="s">
        <v>793</v>
      </c>
      <c r="C145" s="14" t="s">
        <v>794</v>
      </c>
      <c r="D145" s="119" t="s">
        <v>795</v>
      </c>
      <c r="E145" s="120" t="s">
        <v>796</v>
      </c>
      <c r="F145" s="119" t="s">
        <v>135</v>
      </c>
      <c r="G145" s="119" t="s">
        <v>764</v>
      </c>
      <c r="H145" s="121" t="s">
        <v>797</v>
      </c>
      <c r="I145" s="119" t="str">
        <f t="shared" si="2"/>
        <v>NGC 4565 Bernice's Hair Clip</v>
      </c>
    </row>
    <row r="146" spans="1:9" ht="16.5" customHeight="1">
      <c r="A146" s="119" t="s">
        <v>798</v>
      </c>
      <c r="B146" s="119" t="s">
        <v>799</v>
      </c>
      <c r="C146" s="14" t="s">
        <v>800</v>
      </c>
      <c r="D146" s="119" t="s">
        <v>801</v>
      </c>
      <c r="E146" s="120" t="s">
        <v>802</v>
      </c>
      <c r="F146" s="119" t="s">
        <v>178</v>
      </c>
      <c r="G146" s="119" t="s">
        <v>764</v>
      </c>
      <c r="H146" s="121" t="s">
        <v>803</v>
      </c>
      <c r="I146" s="119" t="str">
        <f t="shared" si="2"/>
        <v>Melotte 111 Coma Berenices Star Cluster</v>
      </c>
    </row>
    <row r="147" spans="1:9" ht="16.5" customHeight="1">
      <c r="A147" s="119" t="s">
        <v>804</v>
      </c>
      <c r="B147" s="119" t="s">
        <v>805</v>
      </c>
      <c r="C147" s="14" t="s">
        <v>806</v>
      </c>
      <c r="D147" s="124" t="s">
        <v>456</v>
      </c>
      <c r="E147" s="120" t="s">
        <v>807</v>
      </c>
      <c r="F147" s="119" t="s">
        <v>258</v>
      </c>
      <c r="G147" s="119" t="s">
        <v>764</v>
      </c>
      <c r="H147" s="121" t="s">
        <v>808</v>
      </c>
      <c r="I147" s="119" t="str">
        <f t="shared" si="2"/>
        <v>Abell 1656 Coma Gal Cluster</v>
      </c>
    </row>
    <row r="148" spans="1:9" ht="16.5" customHeight="1">
      <c r="A148" s="122" t="s">
        <v>809</v>
      </c>
      <c r="B148" s="119" t="s">
        <v>810</v>
      </c>
      <c r="C148" s="14" t="s">
        <v>811</v>
      </c>
      <c r="D148" s="123">
        <v>6.3</v>
      </c>
      <c r="E148" s="119" t="s">
        <v>812</v>
      </c>
      <c r="F148" s="119" t="s">
        <v>128</v>
      </c>
      <c r="G148" s="119" t="s">
        <v>813</v>
      </c>
      <c r="H148" s="121"/>
      <c r="I148" s="119" t="str">
        <f t="shared" si="2"/>
        <v>M3 Globular Cluster</v>
      </c>
    </row>
    <row r="149" spans="1:9" ht="16.5" customHeight="1">
      <c r="A149" s="119" t="s">
        <v>814</v>
      </c>
      <c r="B149" s="119" t="s">
        <v>815</v>
      </c>
      <c r="C149" s="14" t="s">
        <v>816</v>
      </c>
      <c r="D149" s="119" t="s">
        <v>562</v>
      </c>
      <c r="E149" s="120" t="s">
        <v>817</v>
      </c>
      <c r="F149" s="119" t="s">
        <v>135</v>
      </c>
      <c r="G149" s="119" t="s">
        <v>813</v>
      </c>
      <c r="H149" s="121"/>
      <c r="I149" s="119" t="str">
        <f t="shared" si="2"/>
        <v>NGC 4631 Galaxy</v>
      </c>
    </row>
    <row r="150" spans="1:9" ht="16.5" customHeight="1">
      <c r="A150" s="119" t="s">
        <v>818</v>
      </c>
      <c r="B150" s="119" t="s">
        <v>819</v>
      </c>
      <c r="C150" s="14" t="s">
        <v>820</v>
      </c>
      <c r="D150" s="119" t="s">
        <v>821</v>
      </c>
      <c r="E150" s="120" t="s">
        <v>822</v>
      </c>
      <c r="F150" s="119" t="s">
        <v>135</v>
      </c>
      <c r="G150" s="119" t="s">
        <v>813</v>
      </c>
      <c r="H150" s="121"/>
      <c r="I150" s="119" t="str">
        <f t="shared" si="2"/>
        <v>NGC 4656 Galaxy</v>
      </c>
    </row>
    <row r="151" spans="1:9" ht="16.5" customHeight="1">
      <c r="A151" s="119" t="s">
        <v>823</v>
      </c>
      <c r="B151" s="119" t="s">
        <v>824</v>
      </c>
      <c r="C151" s="14" t="s">
        <v>825</v>
      </c>
      <c r="D151" s="119" t="s">
        <v>333</v>
      </c>
      <c r="E151" s="120" t="s">
        <v>826</v>
      </c>
      <c r="F151" s="119" t="s">
        <v>135</v>
      </c>
      <c r="G151" s="119" t="s">
        <v>813</v>
      </c>
      <c r="H151" s="121"/>
      <c r="I151" s="119" t="str">
        <f t="shared" si="2"/>
        <v>NGC 4244 Galaxy</v>
      </c>
    </row>
    <row r="152" spans="1:9" ht="16.5" customHeight="1">
      <c r="A152" s="122" t="s">
        <v>827</v>
      </c>
      <c r="B152" s="119" t="s">
        <v>828</v>
      </c>
      <c r="C152" s="14" t="s">
        <v>829</v>
      </c>
      <c r="D152" s="123">
        <v>8.2</v>
      </c>
      <c r="E152" s="119" t="s">
        <v>830</v>
      </c>
      <c r="F152" s="119" t="s">
        <v>135</v>
      </c>
      <c r="G152" s="119" t="s">
        <v>813</v>
      </c>
      <c r="H152" s="121"/>
      <c r="I152" s="119" t="str">
        <f t="shared" si="2"/>
        <v>M94 Galaxy</v>
      </c>
    </row>
    <row r="153" spans="1:9" ht="16.5" customHeight="1">
      <c r="A153" s="122" t="s">
        <v>831</v>
      </c>
      <c r="B153" s="119" t="s">
        <v>832</v>
      </c>
      <c r="C153" s="14" t="s">
        <v>833</v>
      </c>
      <c r="D153" s="123">
        <v>8.6</v>
      </c>
      <c r="E153" s="119" t="s">
        <v>834</v>
      </c>
      <c r="F153" s="119" t="s">
        <v>135</v>
      </c>
      <c r="G153" s="119" t="s">
        <v>813</v>
      </c>
      <c r="H153" s="121" t="s">
        <v>835</v>
      </c>
      <c r="I153" s="119" t="str">
        <f t="shared" si="2"/>
        <v>M63 Sunflower Galaxy</v>
      </c>
    </row>
    <row r="154" spans="1:9" ht="16.5" customHeight="1">
      <c r="A154" s="119" t="s">
        <v>836</v>
      </c>
      <c r="B154" s="119" t="s">
        <v>837</v>
      </c>
      <c r="C154" s="14" t="s">
        <v>838</v>
      </c>
      <c r="D154" s="119" t="s">
        <v>839</v>
      </c>
      <c r="E154" s="120" t="s">
        <v>325</v>
      </c>
      <c r="F154" s="119" t="s">
        <v>840</v>
      </c>
      <c r="G154" s="119" t="s">
        <v>813</v>
      </c>
      <c r="H154" s="121" t="s">
        <v>841</v>
      </c>
      <c r="I154" s="119" t="str">
        <f t="shared" si="2"/>
        <v>Y Canum Venat. La Superba (Red)</v>
      </c>
    </row>
    <row r="155" spans="1:9" ht="16.5" customHeight="1">
      <c r="A155" s="122" t="s">
        <v>842</v>
      </c>
      <c r="B155" s="119" t="s">
        <v>843</v>
      </c>
      <c r="C155" s="14" t="s">
        <v>844</v>
      </c>
      <c r="D155" s="123">
        <v>8.4</v>
      </c>
      <c r="E155" s="119" t="s">
        <v>845</v>
      </c>
      <c r="F155" s="119" t="s">
        <v>135</v>
      </c>
      <c r="G155" s="119" t="s">
        <v>813</v>
      </c>
      <c r="H155" s="121" t="s">
        <v>846</v>
      </c>
      <c r="I155" s="119" t="str">
        <f t="shared" si="2"/>
        <v>M51 Whirlpool Galaxy</v>
      </c>
    </row>
    <row r="156" spans="1:9" ht="16.5" customHeight="1">
      <c r="A156" s="122" t="s">
        <v>847</v>
      </c>
      <c r="B156" s="119" t="s">
        <v>848</v>
      </c>
      <c r="C156" s="14" t="s">
        <v>849</v>
      </c>
      <c r="D156" s="123">
        <v>8.3</v>
      </c>
      <c r="E156" s="119" t="s">
        <v>850</v>
      </c>
      <c r="F156" s="119" t="s">
        <v>135</v>
      </c>
      <c r="G156" s="119" t="s">
        <v>813</v>
      </c>
      <c r="H156" s="121"/>
      <c r="I156" s="119" t="str">
        <f t="shared" si="2"/>
        <v>M106 Galaxy</v>
      </c>
    </row>
    <row r="157" spans="1:9" ht="16.5" customHeight="1">
      <c r="A157" s="122" t="s">
        <v>851</v>
      </c>
      <c r="B157" s="119" t="s">
        <v>852</v>
      </c>
      <c r="C157" s="14" t="s">
        <v>853</v>
      </c>
      <c r="D157" s="123" t="s">
        <v>854</v>
      </c>
      <c r="E157" s="119" t="s">
        <v>855</v>
      </c>
      <c r="F157" s="119" t="s">
        <v>856</v>
      </c>
      <c r="G157" s="119" t="s">
        <v>564</v>
      </c>
      <c r="H157" s="121" t="s">
        <v>857</v>
      </c>
      <c r="I157" s="119" t="str">
        <f t="shared" si="2"/>
        <v>M40 Winnecke 4 (WNC4)</v>
      </c>
    </row>
    <row r="158" spans="1:9" ht="16.5" customHeight="1">
      <c r="A158" s="119" t="s">
        <v>858</v>
      </c>
      <c r="B158" s="119" t="s">
        <v>859</v>
      </c>
      <c r="C158" s="14" t="s">
        <v>860</v>
      </c>
      <c r="D158" s="119" t="s">
        <v>676</v>
      </c>
      <c r="E158" s="120" t="s">
        <v>861</v>
      </c>
      <c r="F158" s="119" t="s">
        <v>135</v>
      </c>
      <c r="G158" s="119" t="s">
        <v>693</v>
      </c>
      <c r="H158" s="121"/>
      <c r="I158" s="119" t="str">
        <f t="shared" si="2"/>
        <v>NGC 5746 Galaxy</v>
      </c>
    </row>
    <row r="159" spans="1:9" ht="16.5" customHeight="1">
      <c r="A159" s="122" t="s">
        <v>862</v>
      </c>
      <c r="B159" s="119" t="s">
        <v>863</v>
      </c>
      <c r="C159" s="14" t="s">
        <v>864</v>
      </c>
      <c r="D159" s="123">
        <v>5.7</v>
      </c>
      <c r="E159" s="119" t="s">
        <v>865</v>
      </c>
      <c r="F159" s="119" t="s">
        <v>128</v>
      </c>
      <c r="G159" s="119" t="s">
        <v>866</v>
      </c>
      <c r="H159" s="121"/>
      <c r="I159" s="119" t="str">
        <f t="shared" si="2"/>
        <v>M5 Globular Cluster</v>
      </c>
    </row>
    <row r="160" spans="1:9" ht="16.5" customHeight="1">
      <c r="A160" s="122" t="s">
        <v>867</v>
      </c>
      <c r="B160" s="119" t="s">
        <v>868</v>
      </c>
      <c r="C160" s="14" t="s">
        <v>869</v>
      </c>
      <c r="D160" s="123">
        <v>7.7</v>
      </c>
      <c r="E160" s="119" t="s">
        <v>438</v>
      </c>
      <c r="F160" s="119" t="s">
        <v>135</v>
      </c>
      <c r="G160" s="119" t="s">
        <v>564</v>
      </c>
      <c r="H160" s="121" t="s">
        <v>870</v>
      </c>
      <c r="I160" s="119" t="str">
        <f t="shared" si="2"/>
        <v>M101 Pinwheel Galaxy</v>
      </c>
    </row>
    <row r="161" spans="1:9" ht="16.5" customHeight="1">
      <c r="A161" s="122" t="s">
        <v>871</v>
      </c>
      <c r="B161" s="119" t="s">
        <v>872</v>
      </c>
      <c r="C161" s="14" t="s">
        <v>873</v>
      </c>
      <c r="D161" s="123">
        <v>10</v>
      </c>
      <c r="E161" s="119" t="s">
        <v>874</v>
      </c>
      <c r="F161" s="119" t="s">
        <v>135</v>
      </c>
      <c r="G161" s="119" t="s">
        <v>875</v>
      </c>
      <c r="H161" s="121" t="s">
        <v>876</v>
      </c>
      <c r="I161" s="119" t="str">
        <f t="shared" si="2"/>
        <v>M102 Spindle Galaxy</v>
      </c>
    </row>
    <row r="162" spans="1:9" ht="16.5" customHeight="1">
      <c r="A162" s="119" t="s">
        <v>877</v>
      </c>
      <c r="B162" s="119" t="s">
        <v>878</v>
      </c>
      <c r="C162" s="14" t="s">
        <v>879</v>
      </c>
      <c r="D162" s="119" t="s">
        <v>676</v>
      </c>
      <c r="E162" s="120" t="s">
        <v>880</v>
      </c>
      <c r="F162" s="119" t="s">
        <v>135</v>
      </c>
      <c r="G162" s="119" t="s">
        <v>875</v>
      </c>
      <c r="H162" s="121"/>
      <c r="I162" s="119" t="str">
        <f t="shared" si="2"/>
        <v>NGC 5907 Galaxy</v>
      </c>
    </row>
    <row r="163" spans="1:9" ht="16.5" customHeight="1">
      <c r="A163" s="119" t="s">
        <v>881</v>
      </c>
      <c r="B163" s="119" t="s">
        <v>882</v>
      </c>
      <c r="C163" s="14" t="s">
        <v>883</v>
      </c>
      <c r="D163" s="119" t="s">
        <v>176</v>
      </c>
      <c r="E163" s="120" t="s">
        <v>884</v>
      </c>
      <c r="F163" s="119" t="s">
        <v>128</v>
      </c>
      <c r="G163" s="119" t="s">
        <v>885</v>
      </c>
      <c r="H163" s="121"/>
      <c r="I163" s="119" t="str">
        <f t="shared" si="2"/>
        <v>NGC 6397 Globular Cluster</v>
      </c>
    </row>
    <row r="164" spans="1:9" ht="16.5" customHeight="1">
      <c r="A164" s="119" t="s">
        <v>886</v>
      </c>
      <c r="B164" s="119" t="s">
        <v>887</v>
      </c>
      <c r="C164" s="14" t="s">
        <v>888</v>
      </c>
      <c r="D164" s="119">
        <v>6</v>
      </c>
      <c r="E164" s="120" t="s">
        <v>323</v>
      </c>
      <c r="F164" s="119" t="s">
        <v>128</v>
      </c>
      <c r="G164" s="120" t="s">
        <v>889</v>
      </c>
      <c r="H164" s="121"/>
      <c r="I164" s="119" t="str">
        <f t="shared" si="2"/>
        <v>NGC 6388 Globular Cluster</v>
      </c>
    </row>
    <row r="165" spans="1:9" ht="16.5" customHeight="1">
      <c r="A165" s="119" t="s">
        <v>890</v>
      </c>
      <c r="B165" s="119" t="s">
        <v>891</v>
      </c>
      <c r="C165" s="14" t="s">
        <v>892</v>
      </c>
      <c r="D165" s="119" t="s">
        <v>893</v>
      </c>
      <c r="E165" s="120" t="s">
        <v>428</v>
      </c>
      <c r="F165" s="119" t="s">
        <v>178</v>
      </c>
      <c r="G165" s="119" t="s">
        <v>889</v>
      </c>
      <c r="H165" s="121" t="s">
        <v>894</v>
      </c>
      <c r="I165" s="119" t="str">
        <f t="shared" si="2"/>
        <v>NGC 6231 Table of Scorpius</v>
      </c>
    </row>
    <row r="166" spans="1:9" ht="16.5" customHeight="1">
      <c r="A166" s="119" t="s">
        <v>895</v>
      </c>
      <c r="B166" s="119" t="s">
        <v>896</v>
      </c>
      <c r="C166" s="14" t="s">
        <v>897</v>
      </c>
      <c r="D166" s="119">
        <v>5.4</v>
      </c>
      <c r="E166" s="120" t="s">
        <v>898</v>
      </c>
      <c r="F166" s="119" t="s">
        <v>178</v>
      </c>
      <c r="G166" s="119" t="s">
        <v>889</v>
      </c>
      <c r="H166" s="121"/>
      <c r="I166" s="119" t="str">
        <f t="shared" si="2"/>
        <v>NGC 6281 Open Cluster</v>
      </c>
    </row>
    <row r="167" spans="1:9" ht="16.5" customHeight="1">
      <c r="A167" s="122" t="s">
        <v>899</v>
      </c>
      <c r="B167" s="119" t="s">
        <v>900</v>
      </c>
      <c r="C167" s="14" t="s">
        <v>901</v>
      </c>
      <c r="D167" s="123">
        <v>3.3</v>
      </c>
      <c r="E167" s="119" t="s">
        <v>902</v>
      </c>
      <c r="F167" s="119" t="s">
        <v>178</v>
      </c>
      <c r="G167" s="119" t="s">
        <v>889</v>
      </c>
      <c r="H167" s="121" t="s">
        <v>903</v>
      </c>
      <c r="I167" s="119" t="str">
        <f t="shared" si="2"/>
        <v>M7 Ptolemy's Cluster</v>
      </c>
    </row>
    <row r="168" spans="1:9" ht="16.5" customHeight="1">
      <c r="A168" s="122" t="s">
        <v>904</v>
      </c>
      <c r="B168" s="119" t="s">
        <v>905</v>
      </c>
      <c r="C168" s="14" t="s">
        <v>906</v>
      </c>
      <c r="D168" s="123">
        <v>4.2</v>
      </c>
      <c r="E168" s="119" t="s">
        <v>907</v>
      </c>
      <c r="F168" s="119" t="s">
        <v>178</v>
      </c>
      <c r="G168" s="119" t="s">
        <v>889</v>
      </c>
      <c r="H168" s="121" t="s">
        <v>908</v>
      </c>
      <c r="I168" s="119" t="str">
        <f t="shared" si="2"/>
        <v>M6 Butterfly Cluster</v>
      </c>
    </row>
    <row r="169" spans="1:9" ht="16.5" customHeight="1">
      <c r="A169" s="122" t="s">
        <v>909</v>
      </c>
      <c r="B169" s="119" t="s">
        <v>910</v>
      </c>
      <c r="C169" s="14" t="s">
        <v>911</v>
      </c>
      <c r="D169" s="123">
        <v>6.6</v>
      </c>
      <c r="E169" s="119" t="s">
        <v>912</v>
      </c>
      <c r="F169" s="119" t="s">
        <v>128</v>
      </c>
      <c r="G169" s="119" t="s">
        <v>913</v>
      </c>
      <c r="H169" s="121"/>
      <c r="I169" s="119" t="str">
        <f t="shared" si="2"/>
        <v>M62 Globular Cluster</v>
      </c>
    </row>
    <row r="170" spans="1:9" ht="16.5" customHeight="1">
      <c r="A170" s="119" t="s">
        <v>914</v>
      </c>
      <c r="B170" s="119" t="s">
        <v>915</v>
      </c>
      <c r="C170" s="14" t="s">
        <v>916</v>
      </c>
      <c r="D170" s="119"/>
      <c r="E170" s="120" t="s">
        <v>917</v>
      </c>
      <c r="F170" s="119" t="s">
        <v>918</v>
      </c>
      <c r="G170" s="119" t="s">
        <v>919</v>
      </c>
      <c r="H170" s="121" t="s">
        <v>920</v>
      </c>
      <c r="I170" s="119" t="str">
        <f t="shared" si="2"/>
        <v>Milky Way Center Galactic Center</v>
      </c>
    </row>
    <row r="171" spans="1:9" ht="16.5" customHeight="1">
      <c r="A171" s="122" t="s">
        <v>921</v>
      </c>
      <c r="B171" s="119" t="s">
        <v>922</v>
      </c>
      <c r="C171" s="14" t="s">
        <v>923</v>
      </c>
      <c r="D171" s="123">
        <v>5.4</v>
      </c>
      <c r="E171" s="119" t="s">
        <v>924</v>
      </c>
      <c r="F171" s="119" t="s">
        <v>128</v>
      </c>
      <c r="G171" s="119" t="s">
        <v>889</v>
      </c>
      <c r="H171" s="121"/>
      <c r="I171" s="119" t="str">
        <f t="shared" si="2"/>
        <v>M4 Globular Cluster</v>
      </c>
    </row>
    <row r="172" spans="1:9" ht="16.5" customHeight="1">
      <c r="A172" s="122" t="s">
        <v>925</v>
      </c>
      <c r="B172" s="119" t="s">
        <v>926</v>
      </c>
      <c r="C172" s="14" t="s">
        <v>927</v>
      </c>
      <c r="D172" s="123">
        <v>7.2</v>
      </c>
      <c r="E172" s="119" t="s">
        <v>928</v>
      </c>
      <c r="F172" s="119" t="s">
        <v>128</v>
      </c>
      <c r="G172" s="119" t="s">
        <v>913</v>
      </c>
      <c r="H172" s="121"/>
      <c r="I172" s="119" t="str">
        <f t="shared" si="2"/>
        <v>M19 Globular Cluster</v>
      </c>
    </row>
    <row r="173" spans="1:9" ht="16.5" customHeight="1">
      <c r="A173" s="119" t="s">
        <v>929</v>
      </c>
      <c r="B173" s="119" t="s">
        <v>930</v>
      </c>
      <c r="C173" s="14" t="s">
        <v>931</v>
      </c>
      <c r="D173" s="119"/>
      <c r="E173" s="120" t="s">
        <v>932</v>
      </c>
      <c r="F173" s="119" t="s">
        <v>933</v>
      </c>
      <c r="G173" s="119" t="s">
        <v>913</v>
      </c>
      <c r="H173" s="121" t="s">
        <v>934</v>
      </c>
      <c r="I173" s="119" t="str">
        <f t="shared" si="2"/>
        <v>B 59 Pipe Nebula (stem)</v>
      </c>
    </row>
    <row r="174" spans="1:9" ht="16.5" customHeight="1">
      <c r="A174" s="119" t="s">
        <v>935</v>
      </c>
      <c r="B174" s="119" t="s">
        <v>936</v>
      </c>
      <c r="C174" s="14" t="s">
        <v>937</v>
      </c>
      <c r="D174" s="119"/>
      <c r="E174" s="120" t="s">
        <v>938</v>
      </c>
      <c r="F174" s="119" t="s">
        <v>933</v>
      </c>
      <c r="G174" s="119" t="s">
        <v>913</v>
      </c>
      <c r="H174" s="121" t="s">
        <v>939</v>
      </c>
      <c r="I174" s="119" t="str">
        <f t="shared" si="2"/>
        <v>B 78 Pipe Nebula (bowl)</v>
      </c>
    </row>
    <row r="175" spans="1:9" ht="16.5" customHeight="1">
      <c r="A175" s="119" t="s">
        <v>940</v>
      </c>
      <c r="B175" s="119" t="s">
        <v>941</v>
      </c>
      <c r="C175" s="14" t="s">
        <v>942</v>
      </c>
      <c r="D175" s="119" t="s">
        <v>456</v>
      </c>
      <c r="E175" s="120" t="s">
        <v>943</v>
      </c>
      <c r="F175" s="119" t="s">
        <v>161</v>
      </c>
      <c r="G175" s="119" t="s">
        <v>913</v>
      </c>
      <c r="H175" s="121"/>
      <c r="I175" s="119" t="str">
        <f t="shared" si="2"/>
        <v>NGC 6369 Planetary Nebula</v>
      </c>
    </row>
    <row r="176" spans="1:9" ht="16.5" customHeight="1">
      <c r="A176" s="122" t="s">
        <v>944</v>
      </c>
      <c r="B176" s="119" t="s">
        <v>945</v>
      </c>
      <c r="C176" s="14" t="s">
        <v>946</v>
      </c>
      <c r="D176" s="123">
        <v>7.2</v>
      </c>
      <c r="E176" s="119" t="s">
        <v>947</v>
      </c>
      <c r="F176" s="119" t="s">
        <v>128</v>
      </c>
      <c r="G176" s="119" t="s">
        <v>889</v>
      </c>
      <c r="H176" s="121"/>
      <c r="I176" s="119" t="str">
        <f t="shared" si="2"/>
        <v>M80 Globular Cluster</v>
      </c>
    </row>
    <row r="177" spans="1:9" ht="16.5" customHeight="1">
      <c r="A177" s="122" t="s">
        <v>948</v>
      </c>
      <c r="B177" s="119" t="s">
        <v>949</v>
      </c>
      <c r="C177" s="14" t="s">
        <v>950</v>
      </c>
      <c r="D177" s="123">
        <v>5.5</v>
      </c>
      <c r="E177" s="119" t="s">
        <v>423</v>
      </c>
      <c r="F177" s="119" t="s">
        <v>178</v>
      </c>
      <c r="G177" s="119" t="s">
        <v>919</v>
      </c>
      <c r="H177" s="121"/>
      <c r="I177" s="119" t="str">
        <f t="shared" si="2"/>
        <v>M23 Open Cluster</v>
      </c>
    </row>
    <row r="178" spans="1:9" ht="16.5" customHeight="1">
      <c r="A178" s="122" t="s">
        <v>951</v>
      </c>
      <c r="B178" s="119" t="s">
        <v>952</v>
      </c>
      <c r="C178" s="14" t="s">
        <v>953</v>
      </c>
      <c r="D178" s="123">
        <v>7.9</v>
      </c>
      <c r="E178" s="119" t="s">
        <v>954</v>
      </c>
      <c r="F178" s="119" t="s">
        <v>128</v>
      </c>
      <c r="G178" s="119" t="s">
        <v>913</v>
      </c>
      <c r="H178" s="121"/>
      <c r="I178" s="119" t="str">
        <f t="shared" si="2"/>
        <v>M9 Globular Cluster</v>
      </c>
    </row>
    <row r="179" spans="1:9" ht="16.5" customHeight="1">
      <c r="A179" s="122" t="s">
        <v>955</v>
      </c>
      <c r="B179" s="119" t="s">
        <v>956</v>
      </c>
      <c r="C179" s="14" t="s">
        <v>957</v>
      </c>
      <c r="D179" s="123">
        <v>8.1</v>
      </c>
      <c r="E179" s="119" t="s">
        <v>140</v>
      </c>
      <c r="F179" s="119" t="s">
        <v>128</v>
      </c>
      <c r="G179" s="119" t="s">
        <v>913</v>
      </c>
      <c r="H179" s="121"/>
      <c r="I179" s="119" t="str">
        <f t="shared" si="2"/>
        <v>M107 Globular Cluster</v>
      </c>
    </row>
    <row r="180" spans="1:9" ht="16.5" customHeight="1">
      <c r="A180" s="122" t="s">
        <v>958</v>
      </c>
      <c r="B180" s="119" t="s">
        <v>959</v>
      </c>
      <c r="C180" s="14" t="s">
        <v>960</v>
      </c>
      <c r="D180" s="123">
        <v>6.6</v>
      </c>
      <c r="E180" s="119" t="s">
        <v>961</v>
      </c>
      <c r="F180" s="119" t="s">
        <v>128</v>
      </c>
      <c r="G180" s="119" t="s">
        <v>913</v>
      </c>
      <c r="H180" s="121"/>
      <c r="I180" s="119" t="str">
        <f t="shared" si="2"/>
        <v>M10 Globular Cluster</v>
      </c>
    </row>
    <row r="181" spans="1:9" ht="16.5" customHeight="1">
      <c r="A181" s="122" t="s">
        <v>962</v>
      </c>
      <c r="B181" s="119" t="s">
        <v>963</v>
      </c>
      <c r="C181" s="14" t="s">
        <v>964</v>
      </c>
      <c r="D181" s="123">
        <v>7.6</v>
      </c>
      <c r="E181" s="119" t="s">
        <v>965</v>
      </c>
      <c r="F181" s="119" t="s">
        <v>128</v>
      </c>
      <c r="G181" s="119" t="s">
        <v>913</v>
      </c>
      <c r="H181" s="121"/>
      <c r="I181" s="119" t="str">
        <f t="shared" si="2"/>
        <v>M14 Globular Cluster</v>
      </c>
    </row>
    <row r="182" spans="1:9" ht="16.5" customHeight="1">
      <c r="A182" s="122" t="s">
        <v>966</v>
      </c>
      <c r="B182" s="119" t="s">
        <v>967</v>
      </c>
      <c r="C182" s="14" t="s">
        <v>968</v>
      </c>
      <c r="D182" s="123">
        <v>6.6</v>
      </c>
      <c r="E182" s="119" t="s">
        <v>969</v>
      </c>
      <c r="F182" s="119" t="s">
        <v>128</v>
      </c>
      <c r="G182" s="119" t="s">
        <v>913</v>
      </c>
      <c r="H182" s="121"/>
      <c r="I182" s="119" t="str">
        <f t="shared" si="2"/>
        <v>M12 Globular Cluster</v>
      </c>
    </row>
    <row r="183" spans="1:9" ht="16.5" customHeight="1">
      <c r="A183" s="119" t="s">
        <v>970</v>
      </c>
      <c r="B183" s="119" t="s">
        <v>971</v>
      </c>
      <c r="C183" s="14" t="s">
        <v>972</v>
      </c>
      <c r="D183" s="119" t="s">
        <v>651</v>
      </c>
      <c r="E183" s="120" t="s">
        <v>973</v>
      </c>
      <c r="F183" s="119" t="s">
        <v>178</v>
      </c>
      <c r="G183" s="119" t="s">
        <v>913</v>
      </c>
      <c r="H183" s="121"/>
      <c r="I183" s="119" t="str">
        <f t="shared" si="2"/>
        <v>IC 4665 Open Cluster</v>
      </c>
    </row>
    <row r="184" spans="1:9" ht="16.5" customHeight="1">
      <c r="A184" s="119" t="s">
        <v>974</v>
      </c>
      <c r="B184" s="119" t="s">
        <v>975</v>
      </c>
      <c r="C184" s="14" t="s">
        <v>976</v>
      </c>
      <c r="D184" s="119" t="s">
        <v>707</v>
      </c>
      <c r="E184" s="120" t="s">
        <v>977</v>
      </c>
      <c r="F184" s="119" t="s">
        <v>161</v>
      </c>
      <c r="G184" s="119" t="s">
        <v>978</v>
      </c>
      <c r="H184" s="121"/>
      <c r="I184" s="119" t="str">
        <f t="shared" si="2"/>
        <v>NGC 6210 Planetary Nebula</v>
      </c>
    </row>
    <row r="185" spans="1:9" ht="16.5" customHeight="1">
      <c r="A185" s="122" t="s">
        <v>979</v>
      </c>
      <c r="B185" s="119" t="s">
        <v>980</v>
      </c>
      <c r="C185" s="14" t="s">
        <v>981</v>
      </c>
      <c r="D185" s="123">
        <v>5.8</v>
      </c>
      <c r="E185" s="119" t="s">
        <v>982</v>
      </c>
      <c r="F185" s="119" t="s">
        <v>128</v>
      </c>
      <c r="G185" s="119" t="s">
        <v>978</v>
      </c>
      <c r="H185" s="121" t="s">
        <v>983</v>
      </c>
      <c r="I185" s="119" t="str">
        <f t="shared" si="2"/>
        <v>M13 Hercules Cluster</v>
      </c>
    </row>
    <row r="186" spans="1:9" ht="16.5" customHeight="1">
      <c r="A186" s="122" t="s">
        <v>984</v>
      </c>
      <c r="B186" s="119" t="s">
        <v>985</v>
      </c>
      <c r="C186" s="14" t="s">
        <v>986</v>
      </c>
      <c r="D186" s="123">
        <v>6.5</v>
      </c>
      <c r="E186" s="119" t="s">
        <v>987</v>
      </c>
      <c r="F186" s="119" t="s">
        <v>128</v>
      </c>
      <c r="G186" s="119" t="s">
        <v>978</v>
      </c>
      <c r="H186" s="121"/>
      <c r="I186" s="119" t="str">
        <f t="shared" si="2"/>
        <v>M92 Globular Cluster</v>
      </c>
    </row>
    <row r="187" spans="1:9" ht="16.5" customHeight="1">
      <c r="A187" s="119" t="s">
        <v>988</v>
      </c>
      <c r="B187" s="119" t="s">
        <v>989</v>
      </c>
      <c r="C187" s="14" t="s">
        <v>990</v>
      </c>
      <c r="D187" s="119">
        <v>8.1</v>
      </c>
      <c r="E187" s="120" t="s">
        <v>991</v>
      </c>
      <c r="F187" s="119" t="s">
        <v>161</v>
      </c>
      <c r="G187" s="119" t="s">
        <v>875</v>
      </c>
      <c r="H187" s="121" t="s">
        <v>992</v>
      </c>
      <c r="I187" s="119" t="str">
        <f t="shared" si="2"/>
        <v>NGC 6543 Cat's Eye Nebula</v>
      </c>
    </row>
    <row r="188" spans="1:9" ht="16.5" customHeight="1">
      <c r="A188" s="119" t="s">
        <v>993</v>
      </c>
      <c r="B188" s="119" t="s">
        <v>994</v>
      </c>
      <c r="C188" s="14" t="s">
        <v>995</v>
      </c>
      <c r="D188" s="119" t="s">
        <v>996</v>
      </c>
      <c r="E188" s="120" t="s">
        <v>997</v>
      </c>
      <c r="F188" s="119" t="s">
        <v>135</v>
      </c>
      <c r="G188" s="119" t="s">
        <v>998</v>
      </c>
      <c r="H188" s="121" t="s">
        <v>999</v>
      </c>
      <c r="I188" s="119" t="str">
        <f t="shared" si="2"/>
        <v>NGC 6545 Needle Galaxy</v>
      </c>
    </row>
    <row r="189" spans="1:9" ht="16.5" customHeight="1">
      <c r="A189" s="122" t="s">
        <v>1000</v>
      </c>
      <c r="B189" s="119" t="s">
        <v>1001</v>
      </c>
      <c r="C189" s="14" t="s">
        <v>1002</v>
      </c>
      <c r="D189" s="123">
        <v>7.7</v>
      </c>
      <c r="E189" s="119" t="s">
        <v>1003</v>
      </c>
      <c r="F189" s="119" t="s">
        <v>128</v>
      </c>
      <c r="G189" s="119" t="s">
        <v>919</v>
      </c>
      <c r="H189" s="121"/>
      <c r="I189" s="119" t="str">
        <f t="shared" si="2"/>
        <v>M69 Globular Cluster</v>
      </c>
    </row>
    <row r="190" spans="1:9" ht="16.5" customHeight="1">
      <c r="A190" s="122" t="s">
        <v>1004</v>
      </c>
      <c r="B190" s="119" t="s">
        <v>1005</v>
      </c>
      <c r="C190" s="14" t="s">
        <v>1006</v>
      </c>
      <c r="D190" s="123">
        <v>8.1</v>
      </c>
      <c r="E190" s="119" t="s">
        <v>1007</v>
      </c>
      <c r="F190" s="119" t="s">
        <v>128</v>
      </c>
      <c r="G190" s="119" t="s">
        <v>919</v>
      </c>
      <c r="H190" s="121"/>
      <c r="I190" s="119" t="str">
        <f t="shared" si="2"/>
        <v>M70 Globular Cluster</v>
      </c>
    </row>
    <row r="191" spans="1:9" ht="16.5" customHeight="1">
      <c r="A191" s="122" t="s">
        <v>1008</v>
      </c>
      <c r="B191" s="119" t="s">
        <v>1009</v>
      </c>
      <c r="C191" s="14" t="s">
        <v>1010</v>
      </c>
      <c r="D191" s="123">
        <v>7.7</v>
      </c>
      <c r="E191" s="119" t="s">
        <v>1011</v>
      </c>
      <c r="F191" s="119" t="s">
        <v>128</v>
      </c>
      <c r="G191" s="119" t="s">
        <v>919</v>
      </c>
      <c r="H191" s="121"/>
      <c r="I191" s="119" t="str">
        <f t="shared" si="2"/>
        <v>M54 Globular Cluster</v>
      </c>
    </row>
    <row r="192" spans="1:9" ht="16.5" customHeight="1">
      <c r="A192" s="122" t="s">
        <v>1012</v>
      </c>
      <c r="B192" s="119" t="s">
        <v>1013</v>
      </c>
      <c r="C192" s="14" t="s">
        <v>1014</v>
      </c>
      <c r="D192" s="123">
        <v>6.3</v>
      </c>
      <c r="E192" s="119" t="s">
        <v>1015</v>
      </c>
      <c r="F192" s="119" t="s">
        <v>128</v>
      </c>
      <c r="G192" s="119" t="s">
        <v>919</v>
      </c>
      <c r="H192" s="121"/>
      <c r="I192" s="119" t="str">
        <f t="shared" si="2"/>
        <v>M55 Globular Cluster</v>
      </c>
    </row>
    <row r="193" spans="1:9" ht="16.5" customHeight="1">
      <c r="A193" s="122" t="s">
        <v>1016</v>
      </c>
      <c r="B193" s="119" t="s">
        <v>1017</v>
      </c>
      <c r="C193" s="14" t="s">
        <v>1018</v>
      </c>
      <c r="D193" s="123">
        <v>5.2</v>
      </c>
      <c r="E193" s="119" t="s">
        <v>397</v>
      </c>
      <c r="F193" s="119" t="s">
        <v>128</v>
      </c>
      <c r="G193" s="119" t="s">
        <v>919</v>
      </c>
      <c r="H193" s="121"/>
      <c r="I193" s="119" t="str">
        <f t="shared" si="2"/>
        <v>M22 Globular Cluster</v>
      </c>
    </row>
    <row r="194" spans="1:9" ht="16.5" customHeight="1">
      <c r="A194" s="122" t="s">
        <v>1019</v>
      </c>
      <c r="B194" s="119" t="s">
        <v>1020</v>
      </c>
      <c r="C194" s="14" t="s">
        <v>1021</v>
      </c>
      <c r="D194" s="123">
        <v>4.6</v>
      </c>
      <c r="E194" s="119" t="s">
        <v>1022</v>
      </c>
      <c r="F194" s="119" t="s">
        <v>341</v>
      </c>
      <c r="G194" s="119" t="s">
        <v>919</v>
      </c>
      <c r="H194" s="121" t="s">
        <v>1023</v>
      </c>
      <c r="I194" s="119" t="str">
        <f t="shared" si="2"/>
        <v>M8 Lagoon Nebula</v>
      </c>
    </row>
    <row r="195" spans="1:9" ht="16.5" customHeight="1">
      <c r="A195" s="122" t="s">
        <v>1024</v>
      </c>
      <c r="B195" s="119" t="s">
        <v>1025</v>
      </c>
      <c r="C195" s="14" t="s">
        <v>1026</v>
      </c>
      <c r="D195" s="123">
        <v>6.9</v>
      </c>
      <c r="E195" s="119" t="s">
        <v>987</v>
      </c>
      <c r="F195" s="119" t="s">
        <v>128</v>
      </c>
      <c r="G195" s="119" t="s">
        <v>919</v>
      </c>
      <c r="H195" s="121"/>
      <c r="I195" s="119" t="str">
        <f t="shared" si="2"/>
        <v>M28 Globular Cluster</v>
      </c>
    </row>
    <row r="196" spans="1:9" ht="16.5" customHeight="1">
      <c r="A196" s="122" t="s">
        <v>1027</v>
      </c>
      <c r="B196" s="119" t="s">
        <v>1028</v>
      </c>
      <c r="C196" s="14" t="s">
        <v>1029</v>
      </c>
      <c r="D196" s="124">
        <v>5</v>
      </c>
      <c r="E196" s="119" t="s">
        <v>517</v>
      </c>
      <c r="F196" s="119" t="s">
        <v>1030</v>
      </c>
      <c r="G196" s="119" t="s">
        <v>919</v>
      </c>
      <c r="H196" s="121" t="s">
        <v>1031</v>
      </c>
      <c r="I196" s="119" t="str">
        <f t="shared" si="2"/>
        <v>M20 Trifid Nebula</v>
      </c>
    </row>
    <row r="197" spans="1:9" ht="16.5" customHeight="1">
      <c r="A197" s="122" t="s">
        <v>1032</v>
      </c>
      <c r="B197" s="119" t="s">
        <v>1033</v>
      </c>
      <c r="C197" s="14" t="s">
        <v>1034</v>
      </c>
      <c r="D197" s="123">
        <v>5.9</v>
      </c>
      <c r="E197" s="119" t="s">
        <v>1035</v>
      </c>
      <c r="F197" s="119" t="s">
        <v>178</v>
      </c>
      <c r="G197" s="119" t="s">
        <v>919</v>
      </c>
      <c r="H197" s="121"/>
      <c r="I197" s="119" t="str">
        <f aca="true" t="shared" si="3" ref="I197:I246">IF(H197&gt;0,A197&amp;" "&amp;H197,A197&amp;" "&amp;F197)</f>
        <v>M21 Open Cluster</v>
      </c>
    </row>
    <row r="198" spans="1:9" ht="16.5" customHeight="1">
      <c r="A198" s="122" t="s">
        <v>1036</v>
      </c>
      <c r="B198" s="119" t="s">
        <v>1037</v>
      </c>
      <c r="C198" s="14" t="s">
        <v>1038</v>
      </c>
      <c r="D198" s="123">
        <v>4.6</v>
      </c>
      <c r="E198" s="119" t="s">
        <v>1039</v>
      </c>
      <c r="F198" s="119" t="s">
        <v>178</v>
      </c>
      <c r="G198" s="119" t="s">
        <v>919</v>
      </c>
      <c r="H198" s="121"/>
      <c r="I198" s="119" t="str">
        <f t="shared" si="3"/>
        <v>M25 Open Cluster</v>
      </c>
    </row>
    <row r="199" spans="1:9" ht="16.5" customHeight="1">
      <c r="A199" s="122" t="s">
        <v>1040</v>
      </c>
      <c r="B199" s="119" t="s">
        <v>1041</v>
      </c>
      <c r="C199" s="14" t="s">
        <v>1042</v>
      </c>
      <c r="D199" s="123">
        <v>4.6</v>
      </c>
      <c r="E199" s="119" t="s">
        <v>1043</v>
      </c>
      <c r="F199" s="119" t="s">
        <v>178</v>
      </c>
      <c r="G199" s="119" t="s">
        <v>919</v>
      </c>
      <c r="H199" s="121" t="s">
        <v>1044</v>
      </c>
      <c r="I199" s="119" t="str">
        <f t="shared" si="3"/>
        <v>M24 contains "Delle Caustiche"</v>
      </c>
    </row>
    <row r="200" spans="1:9" ht="16.5" customHeight="1">
      <c r="A200" s="122" t="s">
        <v>1045</v>
      </c>
      <c r="B200" s="119" t="s">
        <v>1046</v>
      </c>
      <c r="C200" s="14" t="s">
        <v>1047</v>
      </c>
      <c r="D200" s="123">
        <v>6.9</v>
      </c>
      <c r="E200" s="119" t="s">
        <v>1048</v>
      </c>
      <c r="F200" s="119" t="s">
        <v>178</v>
      </c>
      <c r="G200" s="119" t="s">
        <v>919</v>
      </c>
      <c r="H200" s="121"/>
      <c r="I200" s="119" t="str">
        <f t="shared" si="3"/>
        <v>M18 Open Cluster</v>
      </c>
    </row>
    <row r="201" spans="1:9" ht="16.5" customHeight="1">
      <c r="A201" s="122" t="s">
        <v>1049</v>
      </c>
      <c r="B201" s="119" t="s">
        <v>1050</v>
      </c>
      <c r="C201" s="14" t="s">
        <v>1051</v>
      </c>
      <c r="D201" s="123">
        <v>6</v>
      </c>
      <c r="E201" s="119" t="s">
        <v>1052</v>
      </c>
      <c r="F201" s="119" t="s">
        <v>341</v>
      </c>
      <c r="G201" s="119" t="s">
        <v>919</v>
      </c>
      <c r="H201" s="121" t="s">
        <v>1053</v>
      </c>
      <c r="I201" s="119" t="str">
        <f t="shared" si="3"/>
        <v>M17 Omega Nebula</v>
      </c>
    </row>
    <row r="202" spans="1:9" ht="16.5" customHeight="1">
      <c r="A202" s="122" t="s">
        <v>1054</v>
      </c>
      <c r="B202" s="119" t="s">
        <v>1055</v>
      </c>
      <c r="C202" s="14" t="s">
        <v>1056</v>
      </c>
      <c r="D202" s="124">
        <v>6.5</v>
      </c>
      <c r="E202" s="119" t="s">
        <v>747</v>
      </c>
      <c r="F202" s="119" t="s">
        <v>341</v>
      </c>
      <c r="G202" s="119" t="s">
        <v>866</v>
      </c>
      <c r="H202" s="121" t="s">
        <v>1057</v>
      </c>
      <c r="I202" s="119" t="str">
        <f t="shared" si="3"/>
        <v>M16 Eagle Nebula / Open Cluster</v>
      </c>
    </row>
    <row r="203" spans="1:9" ht="16.5" customHeight="1">
      <c r="A203" s="122" t="s">
        <v>1058</v>
      </c>
      <c r="B203" s="119" t="s">
        <v>1059</v>
      </c>
      <c r="C203" s="14" t="s">
        <v>1060</v>
      </c>
      <c r="D203" s="123">
        <v>8</v>
      </c>
      <c r="E203" s="119" t="s">
        <v>907</v>
      </c>
      <c r="F203" s="119" t="s">
        <v>178</v>
      </c>
      <c r="G203" s="119" t="s">
        <v>1061</v>
      </c>
      <c r="H203" s="121"/>
      <c r="I203" s="119" t="str">
        <f t="shared" si="3"/>
        <v>M26 Open Cluster</v>
      </c>
    </row>
    <row r="204" spans="1:9" ht="16.5" customHeight="1">
      <c r="A204" s="119" t="s">
        <v>1062</v>
      </c>
      <c r="B204" s="119" t="s">
        <v>1063</v>
      </c>
      <c r="C204" s="14" t="s">
        <v>1064</v>
      </c>
      <c r="D204" s="119">
        <v>8.3</v>
      </c>
      <c r="E204" s="120" t="s">
        <v>747</v>
      </c>
      <c r="F204" s="119" t="s">
        <v>178</v>
      </c>
      <c r="G204" s="119" t="s">
        <v>1061</v>
      </c>
      <c r="H204" s="121"/>
      <c r="I204" s="119" t="str">
        <f t="shared" si="3"/>
        <v>NGC 6712 Open Cluster</v>
      </c>
    </row>
    <row r="205" spans="1:9" ht="16.5" customHeight="1">
      <c r="A205" s="122" t="s">
        <v>1065</v>
      </c>
      <c r="B205" s="119" t="s">
        <v>1066</v>
      </c>
      <c r="C205" s="14" t="s">
        <v>1067</v>
      </c>
      <c r="D205" s="123">
        <v>5.8</v>
      </c>
      <c r="E205" s="119" t="s">
        <v>145</v>
      </c>
      <c r="F205" s="119" t="s">
        <v>178</v>
      </c>
      <c r="G205" s="119" t="s">
        <v>1061</v>
      </c>
      <c r="H205" s="121" t="s">
        <v>1068</v>
      </c>
      <c r="I205" s="119" t="str">
        <f t="shared" si="3"/>
        <v>M11 Wild Duck Cluster</v>
      </c>
    </row>
    <row r="206" spans="1:9" ht="16.5" customHeight="1">
      <c r="A206" s="119" t="s">
        <v>1069</v>
      </c>
      <c r="B206" s="119" t="s">
        <v>1070</v>
      </c>
      <c r="C206" s="14" t="s">
        <v>1071</v>
      </c>
      <c r="D206" s="119" t="s">
        <v>550</v>
      </c>
      <c r="E206" s="120" t="s">
        <v>1072</v>
      </c>
      <c r="F206" s="119" t="s">
        <v>161</v>
      </c>
      <c r="G206" s="119" t="s">
        <v>913</v>
      </c>
      <c r="H206" s="121"/>
      <c r="I206" s="119" t="str">
        <f t="shared" si="3"/>
        <v>NGC 6572 Planetary Nebula</v>
      </c>
    </row>
    <row r="207" spans="1:9" ht="16.5" customHeight="1">
      <c r="A207" s="119" t="s">
        <v>1073</v>
      </c>
      <c r="B207" s="119" t="s">
        <v>1074</v>
      </c>
      <c r="C207" s="14" t="s">
        <v>1075</v>
      </c>
      <c r="D207" s="119" t="s">
        <v>1076</v>
      </c>
      <c r="E207" s="120" t="s">
        <v>1077</v>
      </c>
      <c r="F207" s="119" t="s">
        <v>178</v>
      </c>
      <c r="G207" s="119" t="s">
        <v>913</v>
      </c>
      <c r="H207" s="121"/>
      <c r="I207" s="119" t="str">
        <f t="shared" si="3"/>
        <v>NGC 6633 Open Cluster</v>
      </c>
    </row>
    <row r="208" spans="1:9" ht="16.5" customHeight="1">
      <c r="A208" s="119" t="s">
        <v>1078</v>
      </c>
      <c r="B208" s="119" t="s">
        <v>1079</v>
      </c>
      <c r="C208" s="14" t="s">
        <v>1080</v>
      </c>
      <c r="D208" s="119" t="s">
        <v>1081</v>
      </c>
      <c r="E208" s="120" t="s">
        <v>1082</v>
      </c>
      <c r="F208" s="119" t="s">
        <v>161</v>
      </c>
      <c r="G208" s="119" t="s">
        <v>1083</v>
      </c>
      <c r="H208" s="121"/>
      <c r="I208" s="119" t="str">
        <f t="shared" si="3"/>
        <v>NGC 6781 Planetary Nebula</v>
      </c>
    </row>
    <row r="209" spans="1:9" ht="16.5" customHeight="1">
      <c r="A209" s="122" t="s">
        <v>1084</v>
      </c>
      <c r="B209" s="119" t="s">
        <v>1085</v>
      </c>
      <c r="C209" s="14" t="s">
        <v>1086</v>
      </c>
      <c r="D209" s="123">
        <v>8.4</v>
      </c>
      <c r="E209" s="119" t="s">
        <v>1087</v>
      </c>
      <c r="F209" s="119" t="s">
        <v>128</v>
      </c>
      <c r="G209" s="119" t="s">
        <v>1088</v>
      </c>
      <c r="H209" s="121"/>
      <c r="I209" s="119" t="str">
        <f t="shared" si="3"/>
        <v>M71 Globular Cluster</v>
      </c>
    </row>
    <row r="210" spans="1:9" ht="16.5" customHeight="1">
      <c r="A210" s="119" t="s">
        <v>1089</v>
      </c>
      <c r="B210" s="119" t="s">
        <v>1090</v>
      </c>
      <c r="C210" s="14" t="s">
        <v>1091</v>
      </c>
      <c r="D210" s="119" t="s">
        <v>1092</v>
      </c>
      <c r="E210" s="120" t="s">
        <v>306</v>
      </c>
      <c r="F210" s="119" t="s">
        <v>311</v>
      </c>
      <c r="G210" s="119" t="s">
        <v>1093</v>
      </c>
      <c r="H210" s="121" t="s">
        <v>1094</v>
      </c>
      <c r="I210" s="119" t="str">
        <f t="shared" si="3"/>
        <v>Collinder 399 Brocchi's Cluster / Coathanger</v>
      </c>
    </row>
    <row r="211" spans="1:9" ht="16.5" customHeight="1">
      <c r="A211" s="119" t="s">
        <v>1095</v>
      </c>
      <c r="B211" s="119" t="s">
        <v>1096</v>
      </c>
      <c r="C211" s="14" t="s">
        <v>1097</v>
      </c>
      <c r="D211" s="119"/>
      <c r="E211" s="120" t="s">
        <v>1098</v>
      </c>
      <c r="F211" s="119" t="s">
        <v>1099</v>
      </c>
      <c r="G211" s="119" t="s">
        <v>919</v>
      </c>
      <c r="H211" s="121" t="s">
        <v>1100</v>
      </c>
      <c r="I211" s="119" t="str">
        <f t="shared" si="3"/>
        <v>Great Rift Galactic Rift</v>
      </c>
    </row>
    <row r="212" spans="1:9" ht="16.5" customHeight="1">
      <c r="A212" s="122" t="s">
        <v>1101</v>
      </c>
      <c r="B212" s="119" t="s">
        <v>1102</v>
      </c>
      <c r="C212" s="14" t="s">
        <v>1103</v>
      </c>
      <c r="D212" s="123">
        <v>7.3</v>
      </c>
      <c r="E212" s="119" t="s">
        <v>1104</v>
      </c>
      <c r="F212" s="119" t="s">
        <v>161</v>
      </c>
      <c r="G212" s="119" t="s">
        <v>1093</v>
      </c>
      <c r="H212" s="121" t="s">
        <v>1105</v>
      </c>
      <c r="I212" s="119" t="str">
        <f t="shared" si="3"/>
        <v>M27 Dumbbell Nebula</v>
      </c>
    </row>
    <row r="213" spans="1:9" ht="16.5" customHeight="1">
      <c r="A213" s="122" t="s">
        <v>1106</v>
      </c>
      <c r="B213" s="119" t="s">
        <v>1107</v>
      </c>
      <c r="C213" s="14" t="s">
        <v>1108</v>
      </c>
      <c r="D213" s="124" t="s">
        <v>1109</v>
      </c>
      <c r="E213" s="119" t="s">
        <v>1110</v>
      </c>
      <c r="F213" s="119" t="s">
        <v>856</v>
      </c>
      <c r="G213" s="119" t="s">
        <v>1111</v>
      </c>
      <c r="H213" s="121" t="s">
        <v>1112</v>
      </c>
      <c r="I213" s="119" t="str">
        <f t="shared" si="3"/>
        <v>S223 Albireo Beta, Blue / Gold</v>
      </c>
    </row>
    <row r="214" spans="1:9" ht="16.5" customHeight="1">
      <c r="A214" s="122" t="s">
        <v>1113</v>
      </c>
      <c r="B214" s="119" t="s">
        <v>1114</v>
      </c>
      <c r="C214" s="14" t="s">
        <v>1115</v>
      </c>
      <c r="D214" s="123">
        <v>8.3</v>
      </c>
      <c r="E214" s="119" t="s">
        <v>1003</v>
      </c>
      <c r="F214" s="119" t="s">
        <v>128</v>
      </c>
      <c r="G214" s="119" t="s">
        <v>1116</v>
      </c>
      <c r="H214" s="121"/>
      <c r="I214" s="119" t="str">
        <f t="shared" si="3"/>
        <v>M56 Globular Cluster</v>
      </c>
    </row>
    <row r="215" spans="1:9" ht="16.5" customHeight="1">
      <c r="A215" s="122" t="s">
        <v>1117</v>
      </c>
      <c r="B215" s="119" t="s">
        <v>1118</v>
      </c>
      <c r="C215" s="14" t="s">
        <v>1119</v>
      </c>
      <c r="D215" s="123">
        <v>8.8</v>
      </c>
      <c r="E215" s="119" t="s">
        <v>1120</v>
      </c>
      <c r="F215" s="119" t="s">
        <v>161</v>
      </c>
      <c r="G215" s="119" t="s">
        <v>1116</v>
      </c>
      <c r="H215" s="121" t="s">
        <v>1121</v>
      </c>
      <c r="I215" s="119" t="str">
        <f t="shared" si="3"/>
        <v>M57 Ring Nebula </v>
      </c>
    </row>
    <row r="216" spans="1:9" ht="16.5" customHeight="1">
      <c r="A216" s="119" t="s">
        <v>1122</v>
      </c>
      <c r="B216" s="119" t="s">
        <v>1123</v>
      </c>
      <c r="C216" s="14" t="s">
        <v>1124</v>
      </c>
      <c r="D216" s="119" t="s">
        <v>1125</v>
      </c>
      <c r="E216" s="120" t="s">
        <v>224</v>
      </c>
      <c r="F216" s="119" t="s">
        <v>178</v>
      </c>
      <c r="G216" s="119" t="s">
        <v>1111</v>
      </c>
      <c r="H216" s="121"/>
      <c r="I216" s="119" t="str">
        <f t="shared" si="3"/>
        <v>NGC 6819 Open Cluster</v>
      </c>
    </row>
    <row r="217" spans="1:9" ht="16.5" customHeight="1">
      <c r="A217" s="119" t="s">
        <v>1126</v>
      </c>
      <c r="B217" s="119" t="s">
        <v>1127</v>
      </c>
      <c r="C217" s="14" t="s">
        <v>1128</v>
      </c>
      <c r="D217" s="119" t="s">
        <v>1129</v>
      </c>
      <c r="E217" s="120" t="s">
        <v>1130</v>
      </c>
      <c r="F217" s="119" t="s">
        <v>161</v>
      </c>
      <c r="G217" s="119" t="s">
        <v>1111</v>
      </c>
      <c r="H217" s="121" t="s">
        <v>1131</v>
      </c>
      <c r="I217" s="119" t="str">
        <f t="shared" si="3"/>
        <v>NGC 6826 Blinking Planetary</v>
      </c>
    </row>
    <row r="218" spans="1:9" ht="16.5" customHeight="1">
      <c r="A218" s="122" t="s">
        <v>1132</v>
      </c>
      <c r="B218" s="119" t="s">
        <v>1133</v>
      </c>
      <c r="C218" s="14" t="s">
        <v>1134</v>
      </c>
      <c r="D218" s="123">
        <v>7.5</v>
      </c>
      <c r="E218" s="119" t="s">
        <v>1052</v>
      </c>
      <c r="F218" s="119" t="s">
        <v>128</v>
      </c>
      <c r="G218" s="119" t="s">
        <v>1135</v>
      </c>
      <c r="H218" s="121"/>
      <c r="I218" s="119" t="str">
        <f t="shared" si="3"/>
        <v>M30 Globular Cluster</v>
      </c>
    </row>
    <row r="219" spans="1:9" ht="16.5" customHeight="1">
      <c r="A219" s="122" t="s">
        <v>1136</v>
      </c>
      <c r="B219" s="119" t="s">
        <v>1137</v>
      </c>
      <c r="C219" s="14" t="s">
        <v>1138</v>
      </c>
      <c r="D219" s="123">
        <v>8.6</v>
      </c>
      <c r="E219" s="119" t="s">
        <v>524</v>
      </c>
      <c r="F219" s="119" t="s">
        <v>128</v>
      </c>
      <c r="G219" s="119" t="s">
        <v>919</v>
      </c>
      <c r="H219" s="121"/>
      <c r="I219" s="119" t="str">
        <f t="shared" si="3"/>
        <v>M75 Globular Cluster</v>
      </c>
    </row>
    <row r="220" spans="1:9" ht="16.5" customHeight="1">
      <c r="A220" s="122" t="s">
        <v>1139</v>
      </c>
      <c r="B220" s="119" t="s">
        <v>1140</v>
      </c>
      <c r="C220" s="14" t="s">
        <v>1141</v>
      </c>
      <c r="D220" s="123">
        <v>9.4</v>
      </c>
      <c r="E220" s="119" t="s">
        <v>1142</v>
      </c>
      <c r="F220" s="119" t="s">
        <v>128</v>
      </c>
      <c r="G220" s="119" t="s">
        <v>1143</v>
      </c>
      <c r="H220" s="121"/>
      <c r="I220" s="119" t="str">
        <f t="shared" si="3"/>
        <v>M72 Globular Cluster</v>
      </c>
    </row>
    <row r="221" spans="1:9" ht="16.5" customHeight="1">
      <c r="A221" s="122" t="s">
        <v>1144</v>
      </c>
      <c r="B221" s="119" t="s">
        <v>1145</v>
      </c>
      <c r="C221" s="14" t="s">
        <v>1146</v>
      </c>
      <c r="D221" s="123">
        <v>9</v>
      </c>
      <c r="E221" s="119" t="s">
        <v>1147</v>
      </c>
      <c r="F221" s="119" t="s">
        <v>178</v>
      </c>
      <c r="G221" s="119" t="s">
        <v>1143</v>
      </c>
      <c r="H221" s="121"/>
      <c r="I221" s="119" t="str">
        <f t="shared" si="3"/>
        <v>M73 Open Cluster</v>
      </c>
    </row>
    <row r="222" spans="1:9" ht="16.5" customHeight="1">
      <c r="A222" s="119" t="s">
        <v>1148</v>
      </c>
      <c r="B222" s="119" t="s">
        <v>1149</v>
      </c>
      <c r="C222" s="14" t="s">
        <v>1150</v>
      </c>
      <c r="D222" s="123">
        <v>8</v>
      </c>
      <c r="E222" s="120" t="s">
        <v>1151</v>
      </c>
      <c r="F222" s="119" t="s">
        <v>161</v>
      </c>
      <c r="G222" s="119" t="s">
        <v>1143</v>
      </c>
      <c r="H222" s="121" t="s">
        <v>1152</v>
      </c>
      <c r="I222" s="119" t="str">
        <f t="shared" si="3"/>
        <v>NGC 7009 Saturn Nebula</v>
      </c>
    </row>
    <row r="223" spans="1:9" ht="16.5" customHeight="1">
      <c r="A223" s="122" t="s">
        <v>1153</v>
      </c>
      <c r="B223" s="119" t="s">
        <v>1154</v>
      </c>
      <c r="C223" s="14" t="s">
        <v>1155</v>
      </c>
      <c r="D223" s="123">
        <v>6.6</v>
      </c>
      <c r="E223" s="119" t="s">
        <v>1156</v>
      </c>
      <c r="F223" s="119" t="s">
        <v>128</v>
      </c>
      <c r="G223" s="119" t="s">
        <v>1143</v>
      </c>
      <c r="H223" s="121"/>
      <c r="I223" s="119" t="str">
        <f t="shared" si="3"/>
        <v>M2 Globular Cluster</v>
      </c>
    </row>
    <row r="224" spans="1:9" ht="16.5" customHeight="1">
      <c r="A224" s="122" t="s">
        <v>1157</v>
      </c>
      <c r="B224" s="119" t="s">
        <v>1158</v>
      </c>
      <c r="C224" s="14" t="s">
        <v>1159</v>
      </c>
      <c r="D224" s="123">
        <v>6.3</v>
      </c>
      <c r="E224" s="119" t="s">
        <v>1160</v>
      </c>
      <c r="F224" s="119" t="s">
        <v>128</v>
      </c>
      <c r="G224" s="119" t="s">
        <v>1161</v>
      </c>
      <c r="H224" s="121"/>
      <c r="I224" s="119" t="str">
        <f t="shared" si="3"/>
        <v>M15 Globular Cluster</v>
      </c>
    </row>
    <row r="225" spans="1:9" ht="16.5" customHeight="1">
      <c r="A225" s="119" t="s">
        <v>1162</v>
      </c>
      <c r="B225" s="119" t="s">
        <v>1163</v>
      </c>
      <c r="C225" s="14" t="s">
        <v>1164</v>
      </c>
      <c r="D225" s="119" t="s">
        <v>1165</v>
      </c>
      <c r="E225" s="120" t="s">
        <v>410</v>
      </c>
      <c r="F225" s="119" t="s">
        <v>178</v>
      </c>
      <c r="G225" s="119" t="s">
        <v>1093</v>
      </c>
      <c r="H225" s="121"/>
      <c r="I225" s="119" t="str">
        <f t="shared" si="3"/>
        <v>NGC 6885 Open Cluster</v>
      </c>
    </row>
    <row r="226" spans="1:9" ht="16.5" customHeight="1">
      <c r="A226" s="119" t="s">
        <v>1166</v>
      </c>
      <c r="B226" s="119" t="s">
        <v>1167</v>
      </c>
      <c r="C226" s="14" t="s">
        <v>1168</v>
      </c>
      <c r="D226" s="119"/>
      <c r="E226" s="120" t="s">
        <v>1169</v>
      </c>
      <c r="F226" s="119" t="s">
        <v>1170</v>
      </c>
      <c r="G226" s="119" t="s">
        <v>1111</v>
      </c>
      <c r="H226" s="121" t="s">
        <v>1171</v>
      </c>
      <c r="I226" s="119" t="str">
        <f t="shared" si="3"/>
        <v>NGC 6960 Western Veil</v>
      </c>
    </row>
    <row r="227" spans="1:9" ht="16.5" customHeight="1">
      <c r="A227" s="119" t="s">
        <v>1172</v>
      </c>
      <c r="B227" s="119" t="s">
        <v>1173</v>
      </c>
      <c r="C227" s="14" t="s">
        <v>1174</v>
      </c>
      <c r="D227" s="119"/>
      <c r="E227" s="120" t="s">
        <v>506</v>
      </c>
      <c r="F227" s="119" t="s">
        <v>1170</v>
      </c>
      <c r="G227" s="119" t="s">
        <v>1111</v>
      </c>
      <c r="H227" s="121" t="s">
        <v>1175</v>
      </c>
      <c r="I227" s="119" t="str">
        <f t="shared" si="3"/>
        <v>NGC 6992 Eastern Veil</v>
      </c>
    </row>
    <row r="228" spans="1:9" ht="16.5" customHeight="1">
      <c r="A228" s="122" t="s">
        <v>1176</v>
      </c>
      <c r="B228" s="119" t="s">
        <v>1177</v>
      </c>
      <c r="C228" s="14" t="s">
        <v>1178</v>
      </c>
      <c r="D228" s="123">
        <v>6.6</v>
      </c>
      <c r="E228" s="119" t="s">
        <v>747</v>
      </c>
      <c r="F228" s="119" t="s">
        <v>178</v>
      </c>
      <c r="G228" s="119" t="s">
        <v>1111</v>
      </c>
      <c r="H228" s="121"/>
      <c r="I228" s="119" t="str">
        <f t="shared" si="3"/>
        <v>M29 Open Cluster</v>
      </c>
    </row>
    <row r="229" spans="1:9" ht="16.5" customHeight="1">
      <c r="A229" s="119" t="s">
        <v>1179</v>
      </c>
      <c r="B229" s="119" t="s">
        <v>1180</v>
      </c>
      <c r="C229" s="14" t="s">
        <v>1181</v>
      </c>
      <c r="D229" s="119" t="s">
        <v>1182</v>
      </c>
      <c r="E229" s="120" t="s">
        <v>361</v>
      </c>
      <c r="F229" s="119" t="s">
        <v>317</v>
      </c>
      <c r="G229" s="119" t="s">
        <v>1093</v>
      </c>
      <c r="H229" s="121" t="s">
        <v>1183</v>
      </c>
      <c r="I229" s="119" t="str">
        <f t="shared" si="3"/>
        <v>NGC 6888 Crescent Nebula</v>
      </c>
    </row>
    <row r="230" spans="1:9" ht="16.5" customHeight="1">
      <c r="A230" s="119" t="s">
        <v>1184</v>
      </c>
      <c r="B230" s="119" t="s">
        <v>1185</v>
      </c>
      <c r="C230" s="14" t="s">
        <v>1186</v>
      </c>
      <c r="D230" s="126" t="s">
        <v>1187</v>
      </c>
      <c r="E230" s="120"/>
      <c r="F230" s="119" t="s">
        <v>1188</v>
      </c>
      <c r="G230" s="120" t="s">
        <v>1111</v>
      </c>
      <c r="H230" s="121" t="s">
        <v>1189</v>
      </c>
      <c r="I230" s="119" t="str">
        <f t="shared" si="3"/>
        <v>S229 Sadr Gamma Cyg</v>
      </c>
    </row>
    <row r="231" spans="1:9" ht="16.5" customHeight="1">
      <c r="A231" s="119" t="s">
        <v>1190</v>
      </c>
      <c r="B231" s="119" t="s">
        <v>1191</v>
      </c>
      <c r="C231" s="14" t="s">
        <v>1192</v>
      </c>
      <c r="D231" s="119"/>
      <c r="E231" s="120" t="s">
        <v>1193</v>
      </c>
      <c r="F231" s="119" t="s">
        <v>317</v>
      </c>
      <c r="G231" s="119" t="s">
        <v>1111</v>
      </c>
      <c r="H231" s="121" t="s">
        <v>1194</v>
      </c>
      <c r="I231" s="119" t="str">
        <f t="shared" si="3"/>
        <v>NGC 7000 North American Nebula</v>
      </c>
    </row>
    <row r="232" spans="1:9" ht="16.5" customHeight="1">
      <c r="A232" s="119" t="s">
        <v>1195</v>
      </c>
      <c r="B232" s="119" t="s">
        <v>1196</v>
      </c>
      <c r="C232" s="14" t="s">
        <v>1197</v>
      </c>
      <c r="D232" s="119">
        <v>1.3</v>
      </c>
      <c r="E232" s="120"/>
      <c r="F232" s="119" t="s">
        <v>1188</v>
      </c>
      <c r="G232" s="120" t="s">
        <v>1111</v>
      </c>
      <c r="H232" s="127" t="s">
        <v>1198</v>
      </c>
      <c r="I232" s="119" t="str">
        <f t="shared" si="3"/>
        <v>S232 Deneb Alpha Cyg</v>
      </c>
    </row>
    <row r="233" spans="1:9" ht="16.5" customHeight="1">
      <c r="A233" s="122" t="s">
        <v>1199</v>
      </c>
      <c r="B233" s="119" t="s">
        <v>1200</v>
      </c>
      <c r="C233" s="14" t="s">
        <v>1201</v>
      </c>
      <c r="D233" s="123">
        <v>4.6</v>
      </c>
      <c r="E233" s="119" t="s">
        <v>1202</v>
      </c>
      <c r="F233" s="119" t="s">
        <v>178</v>
      </c>
      <c r="G233" s="119" t="s">
        <v>1111</v>
      </c>
      <c r="H233" s="121"/>
      <c r="I233" s="119" t="str">
        <f t="shared" si="3"/>
        <v>M39 Open Cluster</v>
      </c>
    </row>
    <row r="234" spans="1:9" ht="16.5" customHeight="1">
      <c r="A234" s="119" t="s">
        <v>1203</v>
      </c>
      <c r="B234" s="119" t="s">
        <v>1204</v>
      </c>
      <c r="C234" s="14" t="s">
        <v>1205</v>
      </c>
      <c r="D234" s="119" t="s">
        <v>1206</v>
      </c>
      <c r="E234" s="120" t="s">
        <v>1207</v>
      </c>
      <c r="F234" s="119" t="s">
        <v>317</v>
      </c>
      <c r="G234" s="119" t="s">
        <v>248</v>
      </c>
      <c r="H234" s="121"/>
      <c r="I234" s="119" t="str">
        <f t="shared" si="3"/>
        <v>IC 1396 Bright Nebula</v>
      </c>
    </row>
    <row r="235" spans="1:9" ht="16.5" customHeight="1">
      <c r="A235" s="119" t="s">
        <v>1208</v>
      </c>
      <c r="B235" s="119" t="s">
        <v>1209</v>
      </c>
      <c r="C235" s="14" t="s">
        <v>1210</v>
      </c>
      <c r="D235" s="119" t="s">
        <v>1211</v>
      </c>
      <c r="E235" s="120" t="s">
        <v>419</v>
      </c>
      <c r="F235" s="119" t="s">
        <v>178</v>
      </c>
      <c r="G235" s="119" t="s">
        <v>248</v>
      </c>
      <c r="H235" s="121"/>
      <c r="I235" s="119" t="str">
        <f t="shared" si="3"/>
        <v>NGC 6939 Open Cluster</v>
      </c>
    </row>
    <row r="236" spans="1:9" ht="16.5" customHeight="1">
      <c r="A236" s="119" t="s">
        <v>1212</v>
      </c>
      <c r="B236" s="14" t="s">
        <v>1213</v>
      </c>
      <c r="C236" s="14" t="s">
        <v>1214</v>
      </c>
      <c r="D236" s="119">
        <v>8.9</v>
      </c>
      <c r="E236" s="120" t="s">
        <v>1215</v>
      </c>
      <c r="F236" s="119" t="s">
        <v>135</v>
      </c>
      <c r="G236" s="120" t="s">
        <v>248</v>
      </c>
      <c r="H236" s="121"/>
      <c r="I236" s="119" t="str">
        <f t="shared" si="3"/>
        <v>NGC 6946 Galaxy</v>
      </c>
    </row>
    <row r="237" spans="1:9" ht="16.5" customHeight="1">
      <c r="A237" s="119" t="s">
        <v>1216</v>
      </c>
      <c r="B237" s="14" t="s">
        <v>1217</v>
      </c>
      <c r="C237" s="14" t="s">
        <v>1218</v>
      </c>
      <c r="D237" s="119">
        <v>12</v>
      </c>
      <c r="E237" s="119" t="s">
        <v>1219</v>
      </c>
      <c r="F237" s="119" t="s">
        <v>135</v>
      </c>
      <c r="G237" s="120" t="s">
        <v>1143</v>
      </c>
      <c r="H237" s="121"/>
      <c r="I237" s="119" t="str">
        <f t="shared" si="3"/>
        <v>NGC 7184 Galaxy</v>
      </c>
    </row>
    <row r="238" spans="1:9" ht="16.5" customHeight="1">
      <c r="A238" s="119" t="s">
        <v>1220</v>
      </c>
      <c r="B238" s="119" t="s">
        <v>1221</v>
      </c>
      <c r="C238" s="14" t="s">
        <v>1222</v>
      </c>
      <c r="D238" s="119" t="s">
        <v>1223</v>
      </c>
      <c r="E238" s="120" t="s">
        <v>1224</v>
      </c>
      <c r="F238" s="119" t="s">
        <v>161</v>
      </c>
      <c r="G238" s="119" t="s">
        <v>1143</v>
      </c>
      <c r="H238" s="121" t="s">
        <v>1225</v>
      </c>
      <c r="I238" s="119" t="str">
        <f t="shared" si="3"/>
        <v>NGC 7293 Helical Nebula</v>
      </c>
    </row>
    <row r="239" spans="1:9" ht="16.5" customHeight="1">
      <c r="A239" s="119" t="s">
        <v>1226</v>
      </c>
      <c r="B239" s="14" t="s">
        <v>1227</v>
      </c>
      <c r="C239" s="14" t="s">
        <v>1228</v>
      </c>
      <c r="D239" s="120">
        <v>11</v>
      </c>
      <c r="E239" s="120" t="s">
        <v>1229</v>
      </c>
      <c r="F239" s="119" t="s">
        <v>135</v>
      </c>
      <c r="G239" s="120" t="s">
        <v>1161</v>
      </c>
      <c r="H239" s="121"/>
      <c r="I239" s="119" t="str">
        <f t="shared" si="3"/>
        <v>NGC 7626 Galaxy</v>
      </c>
    </row>
    <row r="240" spans="1:9" ht="16.5" customHeight="1">
      <c r="A240" s="119" t="s">
        <v>1230</v>
      </c>
      <c r="B240" s="14" t="s">
        <v>1231</v>
      </c>
      <c r="C240" s="14" t="s">
        <v>1228</v>
      </c>
      <c r="D240" s="119">
        <v>14</v>
      </c>
      <c r="E240" s="120" t="s">
        <v>1232</v>
      </c>
      <c r="F240" s="119" t="s">
        <v>135</v>
      </c>
      <c r="G240" s="120" t="s">
        <v>1161</v>
      </c>
      <c r="H240" s="121"/>
      <c r="I240" s="119" t="str">
        <f t="shared" si="3"/>
        <v>NGC 7631 Galaxy</v>
      </c>
    </row>
    <row r="241" spans="1:9" ht="16.5" customHeight="1">
      <c r="A241" s="119" t="s">
        <v>1233</v>
      </c>
      <c r="B241" s="119" t="s">
        <v>1234</v>
      </c>
      <c r="C241" s="14" t="s">
        <v>1235</v>
      </c>
      <c r="D241" s="119" t="s">
        <v>1236</v>
      </c>
      <c r="E241" s="120" t="s">
        <v>1237</v>
      </c>
      <c r="F241" s="119" t="s">
        <v>135</v>
      </c>
      <c r="G241" s="119" t="s">
        <v>1161</v>
      </c>
      <c r="H241" s="121" t="s">
        <v>1238</v>
      </c>
      <c r="I241" s="119" t="str">
        <f t="shared" si="3"/>
        <v>NGC 7331 Little Andromeda Galaxy</v>
      </c>
    </row>
    <row r="242" spans="1:9" ht="16.5" customHeight="1">
      <c r="A242" s="119" t="s">
        <v>1239</v>
      </c>
      <c r="B242" s="119" t="s">
        <v>1240</v>
      </c>
      <c r="C242" s="14" t="s">
        <v>1241</v>
      </c>
      <c r="D242" s="119">
        <v>8.3</v>
      </c>
      <c r="E242" s="120" t="s">
        <v>1242</v>
      </c>
      <c r="F242" s="119" t="s">
        <v>161</v>
      </c>
      <c r="G242" s="119" t="s">
        <v>179</v>
      </c>
      <c r="H242" s="121" t="s">
        <v>1243</v>
      </c>
      <c r="I242" s="119" t="str">
        <f t="shared" si="3"/>
        <v>NGC 7662 Blue Snowball Nebula</v>
      </c>
    </row>
    <row r="243" spans="1:9" ht="16.5" customHeight="1">
      <c r="A243" s="119" t="s">
        <v>1244</v>
      </c>
      <c r="B243" s="119" t="s">
        <v>1245</v>
      </c>
      <c r="C243" s="14" t="s">
        <v>1246</v>
      </c>
      <c r="D243" s="119" t="s">
        <v>1247</v>
      </c>
      <c r="E243" s="120" t="s">
        <v>238</v>
      </c>
      <c r="F243" s="119" t="s">
        <v>178</v>
      </c>
      <c r="G243" s="119" t="s">
        <v>202</v>
      </c>
      <c r="H243" s="121"/>
      <c r="I243" s="119" t="str">
        <f t="shared" si="3"/>
        <v>NGC 7789 Open Cluster</v>
      </c>
    </row>
    <row r="244" spans="1:9" ht="16.5" customHeight="1">
      <c r="A244" s="119" t="s">
        <v>1248</v>
      </c>
      <c r="B244" s="119" t="s">
        <v>1249</v>
      </c>
      <c r="C244" s="14" t="s">
        <v>1250</v>
      </c>
      <c r="D244" s="119"/>
      <c r="E244" s="120" t="s">
        <v>1251</v>
      </c>
      <c r="F244" s="119" t="s">
        <v>178</v>
      </c>
      <c r="G244" s="119" t="s">
        <v>248</v>
      </c>
      <c r="H244" s="121"/>
      <c r="I244" s="119" t="str">
        <f t="shared" si="3"/>
        <v>King 10 Open Cluster</v>
      </c>
    </row>
    <row r="245" spans="1:9" ht="16.5" customHeight="1">
      <c r="A245" s="122" t="s">
        <v>1252</v>
      </c>
      <c r="B245" s="119" t="s">
        <v>1253</v>
      </c>
      <c r="C245" s="14" t="s">
        <v>1254</v>
      </c>
      <c r="D245" s="123">
        <v>6.9</v>
      </c>
      <c r="E245" s="119" t="s">
        <v>1035</v>
      </c>
      <c r="F245" s="119" t="s">
        <v>178</v>
      </c>
      <c r="G245" s="119" t="s">
        <v>202</v>
      </c>
      <c r="H245" s="121"/>
      <c r="I245" s="119" t="str">
        <f t="shared" si="3"/>
        <v>M52 Open Cluster</v>
      </c>
    </row>
    <row r="246" spans="1:9" ht="16.5" customHeight="1">
      <c r="A246" s="119" t="s">
        <v>1255</v>
      </c>
      <c r="B246" s="119" t="s">
        <v>1227</v>
      </c>
      <c r="C246" s="14" t="s">
        <v>1256</v>
      </c>
      <c r="D246" s="119"/>
      <c r="E246" s="120" t="s">
        <v>907</v>
      </c>
      <c r="F246" s="119" t="s">
        <v>317</v>
      </c>
      <c r="G246" s="119" t="s">
        <v>202</v>
      </c>
      <c r="H246" s="121" t="s">
        <v>1257</v>
      </c>
      <c r="I246" s="119" t="str">
        <f t="shared" si="3"/>
        <v>NGC 7635 Bubble Nebula</v>
      </c>
    </row>
    <row r="247" spans="1:9" ht="12.75">
      <c r="A247" s="128"/>
      <c r="C247" s="130"/>
      <c r="D247" s="131"/>
      <c r="E247" s="131"/>
      <c r="I247" s="128"/>
    </row>
    <row r="248" spans="1:9" ht="12.75">
      <c r="A248" s="128"/>
      <c r="C248" s="130"/>
      <c r="D248" s="131"/>
      <c r="E248" s="131"/>
      <c r="I248" s="128"/>
    </row>
    <row r="249" spans="3:5" ht="12.75">
      <c r="C249" s="130"/>
      <c r="D249" s="131"/>
      <c r="E249" s="131"/>
    </row>
    <row r="250" spans="3:5" ht="12.75">
      <c r="C250" s="130"/>
      <c r="D250" s="131"/>
      <c r="E250" s="131"/>
    </row>
    <row r="251" spans="3:5" ht="12.75">
      <c r="C251" s="130"/>
      <c r="D251" s="131"/>
      <c r="E251" s="131"/>
    </row>
    <row r="252" spans="3:5" ht="12.75">
      <c r="C252" s="130"/>
      <c r="D252" s="131"/>
      <c r="E252" s="131"/>
    </row>
    <row r="253" spans="3:5" ht="12.75">
      <c r="C253" s="130"/>
      <c r="D253" s="131"/>
      <c r="E253" s="131"/>
    </row>
    <row r="254" spans="3:5" ht="12.75">
      <c r="C254" s="130"/>
      <c r="D254" s="131"/>
      <c r="E254" s="131"/>
    </row>
    <row r="255" spans="3:5" ht="12.75">
      <c r="C255" s="130"/>
      <c r="D255" s="131"/>
      <c r="E255" s="131"/>
    </row>
    <row r="256" spans="3:5" ht="12.75">
      <c r="C256" s="130"/>
      <c r="D256" s="131"/>
      <c r="E256" s="131"/>
    </row>
    <row r="257" spans="3:5" ht="12.75">
      <c r="C257" s="130"/>
      <c r="D257" s="131"/>
      <c r="E257" s="131"/>
    </row>
    <row r="258" spans="3:5" ht="12.75">
      <c r="C258" s="130"/>
      <c r="D258" s="131"/>
      <c r="E258" s="131"/>
    </row>
    <row r="259" spans="3:5" ht="12.75">
      <c r="C259" s="130"/>
      <c r="D259" s="131"/>
      <c r="E259" s="131"/>
    </row>
    <row r="260" spans="3:5" ht="12.75">
      <c r="C260" s="130"/>
      <c r="D260" s="131"/>
      <c r="E260" s="131"/>
    </row>
    <row r="261" spans="3:5" ht="12.75">
      <c r="C261" s="130"/>
      <c r="D261" s="131"/>
      <c r="E261" s="131"/>
    </row>
    <row r="262" spans="3:5" ht="12.75">
      <c r="C262" s="130"/>
      <c r="D262" s="131"/>
      <c r="E262" s="131"/>
    </row>
    <row r="263" spans="3:5" ht="12.75">
      <c r="C263" s="130"/>
      <c r="D263" s="131"/>
      <c r="E263" s="131"/>
    </row>
    <row r="264" spans="3:5" ht="12.75">
      <c r="C264" s="130"/>
      <c r="D264" s="131"/>
      <c r="E264" s="131"/>
    </row>
    <row r="265" spans="3:5" ht="12.75">
      <c r="C265" s="130"/>
      <c r="D265" s="131"/>
      <c r="E265" s="131"/>
    </row>
    <row r="266" spans="3:5" ht="12.75">
      <c r="C266" s="130"/>
      <c r="D266" s="131"/>
      <c r="E266" s="131"/>
    </row>
    <row r="267" spans="3:5" ht="12.75">
      <c r="C267" s="130"/>
      <c r="D267" s="131"/>
      <c r="E267" s="131"/>
    </row>
    <row r="268" spans="3:5" ht="12.75">
      <c r="C268" s="130"/>
      <c r="D268" s="131"/>
      <c r="E268" s="131"/>
    </row>
    <row r="269" spans="3:5" ht="12.75">
      <c r="C269" s="130"/>
      <c r="D269" s="131"/>
      <c r="E269" s="131"/>
    </row>
    <row r="270" spans="3:5" ht="12.75">
      <c r="C270" s="130"/>
      <c r="D270" s="131"/>
      <c r="E270" s="131"/>
    </row>
    <row r="271" spans="3:5" ht="12.75">
      <c r="C271" s="130"/>
      <c r="D271" s="131"/>
      <c r="E271" s="131"/>
    </row>
    <row r="272" spans="3:5" ht="12.75">
      <c r="C272" s="130"/>
      <c r="D272" s="131"/>
      <c r="E272" s="131"/>
    </row>
    <row r="273" spans="3:5" ht="12.75">
      <c r="C273" s="130"/>
      <c r="D273" s="131"/>
      <c r="E273" s="131"/>
    </row>
    <row r="274" spans="3:5" ht="12.75">
      <c r="C274" s="130"/>
      <c r="D274" s="131"/>
      <c r="E274" s="131"/>
    </row>
    <row r="275" spans="3:5" ht="12.75">
      <c r="C275" s="130"/>
      <c r="D275" s="131"/>
      <c r="E275" s="131"/>
    </row>
    <row r="276" spans="3:5" ht="12.75">
      <c r="C276" s="130"/>
      <c r="D276" s="131"/>
      <c r="E276" s="131"/>
    </row>
    <row r="277" spans="3:5" ht="12.75">
      <c r="C277" s="130"/>
      <c r="D277" s="131"/>
      <c r="E277" s="131"/>
    </row>
    <row r="278" spans="3:5" ht="12.75">
      <c r="C278" s="130"/>
      <c r="D278" s="131"/>
      <c r="E278" s="131"/>
    </row>
    <row r="279" spans="3:5" ht="12.75">
      <c r="C279" s="130"/>
      <c r="D279" s="131"/>
      <c r="E279" s="131"/>
    </row>
    <row r="280" spans="3:5" ht="12.75">
      <c r="C280" s="130"/>
      <c r="D280" s="131"/>
      <c r="E280" s="131"/>
    </row>
    <row r="281" spans="3:5" ht="12.75">
      <c r="C281" s="130"/>
      <c r="D281" s="131"/>
      <c r="E281" s="131"/>
    </row>
    <row r="282" spans="3:5" ht="12.75">
      <c r="C282" s="130"/>
      <c r="D282" s="131"/>
      <c r="E282" s="131"/>
    </row>
    <row r="283" spans="3:5" ht="12.75">
      <c r="C283" s="130"/>
      <c r="D283" s="131"/>
      <c r="E283" s="131"/>
    </row>
    <row r="284" spans="3:5" ht="12.75">
      <c r="C284" s="130"/>
      <c r="D284" s="131"/>
      <c r="E284" s="131"/>
    </row>
    <row r="285" spans="3:5" ht="12.75">
      <c r="C285" s="130"/>
      <c r="D285" s="131"/>
      <c r="E285" s="131"/>
    </row>
    <row r="286" spans="3:5" ht="12.75">
      <c r="C286" s="130"/>
      <c r="D286" s="131"/>
      <c r="E286" s="131"/>
    </row>
    <row r="287" spans="3:4" ht="12.75">
      <c r="C287" s="130"/>
      <c r="D287" s="131"/>
    </row>
    <row r="288" spans="3:4" ht="12.75">
      <c r="C288" s="130"/>
      <c r="D288" s="131"/>
    </row>
    <row r="289" spans="3:4" ht="12.75">
      <c r="C289" s="130"/>
      <c r="D289" s="131"/>
    </row>
    <row r="290" spans="3:4" ht="12.75">
      <c r="C290" s="130"/>
      <c r="D290" s="131"/>
    </row>
    <row r="291" spans="3:4" ht="12.75">
      <c r="C291" s="130"/>
      <c r="D291" s="131"/>
    </row>
    <row r="292" spans="3:4" ht="12.75">
      <c r="C292" s="130"/>
      <c r="D292" s="131"/>
    </row>
    <row r="293" spans="3:4" ht="12.75">
      <c r="C293" s="130"/>
      <c r="D293" s="131"/>
    </row>
    <row r="294" spans="3:4" ht="12.75">
      <c r="C294" s="130"/>
      <c r="D294" s="131"/>
    </row>
    <row r="295" spans="3:4" ht="12.75">
      <c r="C295" s="130"/>
      <c r="D295" s="131"/>
    </row>
    <row r="296" spans="3:4" ht="12.75">
      <c r="C296" s="130"/>
      <c r="D296" s="131"/>
    </row>
    <row r="297" spans="3:4" ht="12.75">
      <c r="C297" s="130"/>
      <c r="D297" s="131"/>
    </row>
    <row r="298" spans="3:4" ht="12.75">
      <c r="C298" s="130"/>
      <c r="D298" s="131"/>
    </row>
    <row r="299" spans="3:4" ht="12.75">
      <c r="C299" s="130"/>
      <c r="D299" s="131"/>
    </row>
    <row r="300" spans="3:4" ht="12.75">
      <c r="C300" s="130"/>
      <c r="D300" s="131"/>
    </row>
    <row r="301" spans="3:4" ht="12.75">
      <c r="C301" s="130"/>
      <c r="D301" s="131"/>
    </row>
    <row r="302" spans="3:4" ht="12.75">
      <c r="C302" s="130"/>
      <c r="D302" s="131"/>
    </row>
    <row r="303" spans="3:4" ht="12.75">
      <c r="C303" s="130"/>
      <c r="D303" s="131"/>
    </row>
    <row r="304" spans="3:4" ht="12.75">
      <c r="C304" s="130"/>
      <c r="D304" s="131"/>
    </row>
    <row r="305" spans="3:4" ht="12.75">
      <c r="C305" s="130"/>
      <c r="D305" s="131"/>
    </row>
    <row r="306" spans="3:4" ht="12.75">
      <c r="C306" s="130"/>
      <c r="D306" s="131"/>
    </row>
    <row r="307" spans="3:4" ht="12.75">
      <c r="C307" s="130"/>
      <c r="D307" s="131"/>
    </row>
    <row r="308" spans="3:4" ht="12.75">
      <c r="C308" s="130"/>
      <c r="D308" s="131"/>
    </row>
    <row r="309" spans="3:4" ht="12.75">
      <c r="C309" s="130"/>
      <c r="D309" s="131"/>
    </row>
    <row r="310" spans="3:4" ht="12.75">
      <c r="C310" s="130"/>
      <c r="D310" s="131"/>
    </row>
    <row r="311" spans="3:4" ht="12.75">
      <c r="C311" s="130"/>
      <c r="D311" s="131"/>
    </row>
    <row r="312" spans="3:4" ht="12.75">
      <c r="C312" s="130"/>
      <c r="D312" s="131"/>
    </row>
    <row r="313" spans="3:4" ht="12.75">
      <c r="C313" s="130"/>
      <c r="D313" s="131"/>
    </row>
    <row r="314" spans="3:4" ht="12.75">
      <c r="C314" s="130"/>
      <c r="D314" s="131"/>
    </row>
    <row r="315" spans="3:4" ht="12.75">
      <c r="C315" s="130"/>
      <c r="D315" s="131"/>
    </row>
    <row r="316" spans="3:4" ht="12.75">
      <c r="C316" s="130"/>
      <c r="D316" s="131"/>
    </row>
    <row r="317" spans="3:4" ht="12.75">
      <c r="C317" s="130"/>
      <c r="D317" s="131"/>
    </row>
    <row r="318" spans="3:4" ht="12.75">
      <c r="C318" s="130"/>
      <c r="D318" s="131"/>
    </row>
    <row r="319" spans="3:4" ht="12.75">
      <c r="C319" s="130"/>
      <c r="D319" s="131"/>
    </row>
    <row r="320" spans="3:4" ht="12.75">
      <c r="C320" s="130"/>
      <c r="D320" s="131"/>
    </row>
    <row r="321" spans="3:4" ht="12.75">
      <c r="C321" s="130"/>
      <c r="D321" s="131"/>
    </row>
    <row r="322" spans="3:4" ht="12.75">
      <c r="C322" s="130"/>
      <c r="D322" s="131"/>
    </row>
    <row r="323" spans="3:4" ht="12.75">
      <c r="C323" s="130"/>
      <c r="D323" s="131"/>
    </row>
    <row r="324" spans="3:4" ht="12.75">
      <c r="C324" s="130"/>
      <c r="D324" s="131"/>
    </row>
    <row r="325" spans="3:4" ht="12.75">
      <c r="C325" s="130"/>
      <c r="D325" s="131"/>
    </row>
    <row r="326" spans="3:4" ht="12.75">
      <c r="C326" s="130"/>
      <c r="D326" s="131"/>
    </row>
    <row r="327" spans="3:4" ht="12.75">
      <c r="C327" s="130"/>
      <c r="D327" s="131"/>
    </row>
    <row r="328" spans="3:4" ht="12.75">
      <c r="C328" s="130"/>
      <c r="D328" s="131"/>
    </row>
    <row r="329" spans="3:4" ht="12.75">
      <c r="C329" s="130"/>
      <c r="D329" s="131"/>
    </row>
    <row r="330" spans="3:4" ht="12.75">
      <c r="C330" s="130"/>
      <c r="D330" s="131"/>
    </row>
    <row r="331" spans="3:4" ht="12.75">
      <c r="C331" s="130"/>
      <c r="D331" s="131"/>
    </row>
    <row r="332" spans="3:4" ht="12.75">
      <c r="C332" s="130"/>
      <c r="D332" s="131"/>
    </row>
    <row r="333" spans="3:4" ht="12.75">
      <c r="C333" s="130"/>
      <c r="D333" s="131"/>
    </row>
    <row r="334" spans="3:4" ht="12.75">
      <c r="C334" s="130"/>
      <c r="D334" s="131"/>
    </row>
    <row r="335" spans="3:4" ht="12.75">
      <c r="C335" s="130"/>
      <c r="D335" s="131"/>
    </row>
    <row r="336" spans="3:4" ht="12.75">
      <c r="C336" s="130"/>
      <c r="D336" s="131"/>
    </row>
    <row r="337" spans="3:4" ht="12.75">
      <c r="C337" s="130"/>
      <c r="D337" s="131"/>
    </row>
    <row r="338" spans="3:4" ht="12.75">
      <c r="C338" s="130"/>
      <c r="D338" s="131"/>
    </row>
    <row r="339" spans="3:4" ht="12.75">
      <c r="C339" s="130"/>
      <c r="D339" s="131"/>
    </row>
    <row r="340" spans="3:4" ht="12.75">
      <c r="C340" s="130"/>
      <c r="D340" s="131"/>
    </row>
    <row r="341" spans="3:4" ht="12.75">
      <c r="C341" s="130"/>
      <c r="D341" s="131"/>
    </row>
    <row r="342" spans="3:4" ht="12.75">
      <c r="C342" s="130"/>
      <c r="D342" s="131"/>
    </row>
    <row r="343" spans="3:4" ht="12.75">
      <c r="C343" s="130"/>
      <c r="D343" s="131"/>
    </row>
    <row r="344" spans="3:4" ht="12.75">
      <c r="C344" s="130"/>
      <c r="D344" s="131"/>
    </row>
    <row r="345" spans="3:4" ht="12.75">
      <c r="C345" s="130"/>
      <c r="D345" s="131"/>
    </row>
    <row r="346" spans="3:4" ht="12.75">
      <c r="C346" s="130"/>
      <c r="D346" s="131"/>
    </row>
    <row r="347" spans="3:4" ht="12.75">
      <c r="C347" s="130"/>
      <c r="D347" s="131"/>
    </row>
    <row r="348" spans="3:4" ht="12.75">
      <c r="C348" s="130"/>
      <c r="D348" s="131"/>
    </row>
    <row r="349" spans="3:4" ht="12.75">
      <c r="C349" s="130"/>
      <c r="D349" s="131"/>
    </row>
    <row r="350" spans="3:4" ht="12.75">
      <c r="C350" s="130"/>
      <c r="D350" s="131"/>
    </row>
    <row r="351" spans="3:4" ht="12.75">
      <c r="C351" s="130"/>
      <c r="D351" s="131"/>
    </row>
    <row r="352" spans="3:4" ht="12.75">
      <c r="C352" s="130"/>
      <c r="D352" s="131"/>
    </row>
    <row r="353" spans="3:4" ht="12.75">
      <c r="C353" s="130"/>
      <c r="D353" s="131"/>
    </row>
    <row r="354" spans="3:4" ht="12.75">
      <c r="C354" s="130"/>
      <c r="D354" s="131"/>
    </row>
    <row r="355" spans="3:4" ht="12.75">
      <c r="C355" s="130"/>
      <c r="D355" s="131"/>
    </row>
    <row r="356" spans="3:4" ht="12.75">
      <c r="C356" s="130"/>
      <c r="D356" s="131"/>
    </row>
    <row r="357" spans="3:4" ht="12.75">
      <c r="C357" s="130"/>
      <c r="D357" s="131"/>
    </row>
    <row r="358" spans="3:4" ht="12.75">
      <c r="C358" s="130"/>
      <c r="D358" s="131"/>
    </row>
    <row r="359" spans="3:4" ht="12.75">
      <c r="C359" s="130"/>
      <c r="D359" s="131"/>
    </row>
    <row r="360" spans="3:4" ht="12.75">
      <c r="C360" s="130"/>
      <c r="D360" s="131"/>
    </row>
    <row r="361" spans="3:4" ht="12.75">
      <c r="C361" s="130"/>
      <c r="D361" s="131"/>
    </row>
    <row r="362" spans="3:4" ht="12.75">
      <c r="C362" s="130"/>
      <c r="D362" s="131"/>
    </row>
    <row r="363" spans="3:4" ht="12.75">
      <c r="C363" s="130"/>
      <c r="D363" s="131"/>
    </row>
    <row r="364" spans="3:4" ht="12.75">
      <c r="C364" s="130"/>
      <c r="D364" s="131"/>
    </row>
    <row r="365" spans="3:4" ht="12.75">
      <c r="C365" s="130"/>
      <c r="D365" s="131"/>
    </row>
    <row r="366" spans="3:4" ht="12.75">
      <c r="C366" s="130"/>
      <c r="D366" s="131"/>
    </row>
    <row r="367" spans="3:4" ht="12.75">
      <c r="C367" s="130"/>
      <c r="D367" s="131"/>
    </row>
    <row r="368" spans="3:4" ht="12.75">
      <c r="C368" s="130"/>
      <c r="D368" s="131"/>
    </row>
    <row r="369" spans="3:4" ht="12.75">
      <c r="C369" s="130"/>
      <c r="D369" s="131"/>
    </row>
    <row r="370" spans="3:4" ht="12.75">
      <c r="C370" s="130"/>
      <c r="D370" s="131"/>
    </row>
    <row r="371" spans="3:4" ht="12.75">
      <c r="C371" s="130"/>
      <c r="D371" s="131"/>
    </row>
    <row r="372" spans="3:4" ht="12.75">
      <c r="C372" s="130"/>
      <c r="D372" s="131"/>
    </row>
    <row r="373" spans="3:4" ht="12.75">
      <c r="C373" s="130"/>
      <c r="D373" s="131"/>
    </row>
    <row r="374" spans="3:4" ht="12.75">
      <c r="C374" s="130"/>
      <c r="D374" s="131"/>
    </row>
    <row r="375" spans="3:4" ht="12.75">
      <c r="C375" s="130"/>
      <c r="D375" s="131"/>
    </row>
    <row r="376" spans="3:4" ht="12.75">
      <c r="C376" s="130"/>
      <c r="D376" s="131"/>
    </row>
    <row r="377" spans="3:4" ht="12.75">
      <c r="C377" s="130"/>
      <c r="D377" s="131"/>
    </row>
    <row r="378" spans="3:4" ht="12.75">
      <c r="C378" s="130"/>
      <c r="D378" s="131"/>
    </row>
    <row r="379" spans="3:4" ht="12.75">
      <c r="C379" s="130"/>
      <c r="D379" s="131"/>
    </row>
    <row r="380" spans="3:4" ht="12.75">
      <c r="C380" s="130"/>
      <c r="D380" s="131"/>
    </row>
    <row r="381" spans="3:4" ht="12.75">
      <c r="C381" s="130"/>
      <c r="D381" s="131"/>
    </row>
    <row r="382" spans="3:4" ht="12.75">
      <c r="C382" s="130"/>
      <c r="D382" s="131"/>
    </row>
    <row r="383" spans="3:4" ht="12.75">
      <c r="C383" s="130"/>
      <c r="D383" s="131"/>
    </row>
    <row r="384" spans="3:4" ht="12.75">
      <c r="C384" s="130"/>
      <c r="D384" s="131"/>
    </row>
    <row r="385" spans="3:4" ht="12.75">
      <c r="C385" s="130"/>
      <c r="D385" s="131"/>
    </row>
    <row r="386" spans="3:4" ht="12.75">
      <c r="C386" s="130"/>
      <c r="D386" s="131"/>
    </row>
    <row r="387" spans="3:4" ht="12.75">
      <c r="C387" s="130"/>
      <c r="D387" s="131"/>
    </row>
    <row r="388" spans="3:4" ht="12.75">
      <c r="C388" s="130"/>
      <c r="D388" s="131"/>
    </row>
    <row r="389" spans="3:4" ht="12.75">
      <c r="C389" s="130"/>
      <c r="D389" s="131"/>
    </row>
    <row r="390" spans="3:4" ht="12.75">
      <c r="C390" s="130"/>
      <c r="D390" s="131"/>
    </row>
    <row r="391" spans="3:4" ht="12.75">
      <c r="C391" s="130"/>
      <c r="D391" s="131"/>
    </row>
    <row r="392" spans="3:4" ht="12.75">
      <c r="C392" s="130"/>
      <c r="D392" s="131"/>
    </row>
    <row r="393" spans="3:4" ht="12.75">
      <c r="C393" s="130"/>
      <c r="D393" s="131"/>
    </row>
    <row r="394" spans="3:4" ht="12.75">
      <c r="C394" s="130"/>
      <c r="D394" s="131"/>
    </row>
    <row r="395" spans="3:4" ht="12.75">
      <c r="C395" s="130"/>
      <c r="D395" s="131"/>
    </row>
    <row r="396" spans="3:4" ht="12.75">
      <c r="C396" s="130"/>
      <c r="D396" s="131"/>
    </row>
    <row r="397" spans="3:4" ht="12.75">
      <c r="C397" s="130"/>
      <c r="D397" s="131"/>
    </row>
    <row r="398" spans="3:4" ht="12.75">
      <c r="C398" s="130"/>
      <c r="D398" s="131"/>
    </row>
    <row r="399" spans="3:4" ht="12.75">
      <c r="C399" s="130"/>
      <c r="D399" s="131"/>
    </row>
    <row r="400" spans="3:4" ht="12.75">
      <c r="C400" s="130"/>
      <c r="D400" s="131"/>
    </row>
    <row r="401" spans="3:4" ht="12.75">
      <c r="C401" s="130"/>
      <c r="D401" s="131"/>
    </row>
    <row r="402" spans="3:4" ht="12.75">
      <c r="C402" s="130"/>
      <c r="D402" s="131"/>
    </row>
    <row r="403" spans="3:4" ht="12.75">
      <c r="C403" s="130"/>
      <c r="D403" s="131"/>
    </row>
    <row r="404" spans="3:4" ht="12.75">
      <c r="C404" s="130"/>
      <c r="D404" s="131"/>
    </row>
    <row r="405" spans="3:4" ht="12.75">
      <c r="C405" s="130"/>
      <c r="D405" s="131"/>
    </row>
    <row r="406" spans="3:4" ht="12.75">
      <c r="C406" s="130"/>
      <c r="D406" s="131"/>
    </row>
    <row r="407" spans="3:4" ht="12.75">
      <c r="C407" s="130"/>
      <c r="D407" s="131"/>
    </row>
    <row r="408" spans="3:4" ht="12.75">
      <c r="C408" s="130"/>
      <c r="D408" s="131"/>
    </row>
    <row r="409" spans="3:4" ht="12.75">
      <c r="C409" s="130"/>
      <c r="D409" s="131"/>
    </row>
    <row r="410" spans="3:4" ht="12.75">
      <c r="C410" s="130"/>
      <c r="D410" s="131"/>
    </row>
    <row r="411" spans="3:4" ht="12.75">
      <c r="C411" s="130"/>
      <c r="D411" s="131"/>
    </row>
    <row r="412" spans="3:4" ht="12.75">
      <c r="C412" s="130"/>
      <c r="D412" s="131"/>
    </row>
    <row r="413" spans="3:4" ht="12.75">
      <c r="C413" s="130"/>
      <c r="D413" s="131"/>
    </row>
    <row r="414" spans="3:4" ht="12.75">
      <c r="C414" s="130"/>
      <c r="D414" s="131"/>
    </row>
    <row r="415" spans="3:4" ht="12.75">
      <c r="C415" s="130"/>
      <c r="D415" s="131"/>
    </row>
    <row r="416" spans="3:4" ht="12.75">
      <c r="C416" s="130"/>
      <c r="D416" s="131"/>
    </row>
    <row r="417" spans="3:4" ht="12.75">
      <c r="C417" s="130"/>
      <c r="D417" s="131"/>
    </row>
    <row r="418" spans="3:4" ht="12.75">
      <c r="C418" s="130"/>
      <c r="D418" s="131"/>
    </row>
    <row r="419" spans="3:4" ht="12.75">
      <c r="C419" s="130"/>
      <c r="D419" s="131"/>
    </row>
    <row r="420" spans="3:4" ht="12.75">
      <c r="C420" s="130"/>
      <c r="D420" s="131"/>
    </row>
    <row r="421" spans="3:4" ht="12.75">
      <c r="C421" s="130"/>
      <c r="D421" s="131"/>
    </row>
    <row r="422" spans="3:4" ht="12.75">
      <c r="C422" s="130"/>
      <c r="D422" s="131"/>
    </row>
    <row r="423" spans="3:4" ht="12.75">
      <c r="C423" s="130"/>
      <c r="D423" s="131"/>
    </row>
    <row r="424" spans="3:4" ht="12.75">
      <c r="C424" s="130"/>
      <c r="D424" s="131"/>
    </row>
    <row r="425" spans="3:4" ht="12.75">
      <c r="C425" s="130"/>
      <c r="D425" s="131"/>
    </row>
    <row r="426" spans="3:4" ht="12.75">
      <c r="C426" s="130"/>
      <c r="D426" s="131"/>
    </row>
    <row r="427" spans="3:4" ht="12.75">
      <c r="C427" s="130"/>
      <c r="D427" s="131"/>
    </row>
    <row r="428" spans="3:4" ht="12.75">
      <c r="C428" s="130"/>
      <c r="D428" s="131"/>
    </row>
    <row r="429" spans="3:4" ht="12.75">
      <c r="C429" s="130"/>
      <c r="D429" s="131"/>
    </row>
    <row r="430" spans="3:4" ht="12.75">
      <c r="C430" s="130"/>
      <c r="D430" s="131"/>
    </row>
    <row r="431" spans="3:4" ht="12.75">
      <c r="C431" s="130"/>
      <c r="D431" s="131"/>
    </row>
    <row r="432" spans="3:4" ht="12.75">
      <c r="C432" s="130"/>
      <c r="D432" s="131"/>
    </row>
    <row r="433" spans="3:4" ht="12.75">
      <c r="C433" s="130"/>
      <c r="D433" s="131"/>
    </row>
    <row r="434" spans="3:4" ht="12.75">
      <c r="C434" s="130"/>
      <c r="D434" s="131"/>
    </row>
    <row r="435" spans="3:4" ht="12.75">
      <c r="C435" s="130"/>
      <c r="D435" s="131"/>
    </row>
    <row r="436" spans="3:4" ht="12.75">
      <c r="C436" s="130"/>
      <c r="D436" s="131"/>
    </row>
    <row r="437" spans="3:4" ht="12.75">
      <c r="C437" s="130"/>
      <c r="D437" s="131"/>
    </row>
    <row r="438" spans="3:4" ht="12.75">
      <c r="C438" s="130"/>
      <c r="D438" s="131"/>
    </row>
    <row r="439" spans="3:4" ht="12.75">
      <c r="C439" s="130"/>
      <c r="D439" s="131"/>
    </row>
    <row r="440" spans="3:4" ht="12.75">
      <c r="C440" s="130"/>
      <c r="D440" s="131"/>
    </row>
    <row r="441" spans="3:4" ht="12.75">
      <c r="C441" s="130"/>
      <c r="D441" s="131"/>
    </row>
    <row r="442" spans="3:4" ht="12.75">
      <c r="C442" s="130"/>
      <c r="D442" s="131"/>
    </row>
    <row r="443" spans="3:4" ht="12.75">
      <c r="C443" s="130"/>
      <c r="D443" s="131"/>
    </row>
    <row r="444" spans="3:4" ht="12.75">
      <c r="C444" s="130"/>
      <c r="D444" s="131"/>
    </row>
    <row r="445" spans="3:4" ht="12.75">
      <c r="C445" s="130"/>
      <c r="D445" s="131"/>
    </row>
    <row r="446" spans="3:4" ht="12.75">
      <c r="C446" s="130"/>
      <c r="D446" s="131"/>
    </row>
    <row r="447" ht="12.75">
      <c r="D447" s="131"/>
    </row>
    <row r="448" ht="12.75">
      <c r="D448" s="131"/>
    </row>
    <row r="449" ht="12.75">
      <c r="D449" s="131"/>
    </row>
    <row r="450" ht="12.75">
      <c r="D450" s="131"/>
    </row>
    <row r="451" ht="12.75">
      <c r="D451" s="131"/>
    </row>
    <row r="452" ht="12.75">
      <c r="D452" s="131"/>
    </row>
    <row r="453" ht="12.75">
      <c r="D453" s="131"/>
    </row>
    <row r="454" ht="12.75">
      <c r="D454" s="131"/>
    </row>
    <row r="455" ht="12.75">
      <c r="D455" s="131"/>
    </row>
    <row r="456" ht="12.75">
      <c r="D456" s="131"/>
    </row>
    <row r="457" ht="12.75">
      <c r="D457" s="131"/>
    </row>
    <row r="458" ht="12.75">
      <c r="D458" s="131"/>
    </row>
    <row r="459" ht="12.75">
      <c r="D459" s="131"/>
    </row>
    <row r="460" ht="12.75">
      <c r="D460" s="131"/>
    </row>
    <row r="461" ht="12.75">
      <c r="D461" s="131"/>
    </row>
    <row r="462" ht="12.75">
      <c r="D462" s="131"/>
    </row>
    <row r="463" ht="12.75">
      <c r="D463" s="131"/>
    </row>
    <row r="464" ht="12.75">
      <c r="D464" s="131"/>
    </row>
    <row r="465" ht="12.75">
      <c r="D465" s="131"/>
    </row>
    <row r="466" ht="12.75">
      <c r="D466" s="131"/>
    </row>
    <row r="467" ht="12.75">
      <c r="D467" s="131"/>
    </row>
    <row r="468" ht="12.75">
      <c r="D468" s="131"/>
    </row>
    <row r="469" ht="12.75">
      <c r="D469" s="131"/>
    </row>
    <row r="470" ht="12.75">
      <c r="D470" s="131"/>
    </row>
    <row r="471" ht="12.75">
      <c r="D471" s="131"/>
    </row>
    <row r="472" ht="12.75">
      <c r="D472" s="131"/>
    </row>
    <row r="473" ht="12.75">
      <c r="D473" s="131"/>
    </row>
    <row r="474" ht="12.75">
      <c r="D474" s="131"/>
    </row>
    <row r="475" ht="12.75">
      <c r="D475" s="131"/>
    </row>
    <row r="476" ht="12.75">
      <c r="D476" s="131"/>
    </row>
    <row r="477" ht="12.75">
      <c r="D477" s="131"/>
    </row>
    <row r="478" ht="12.75">
      <c r="D478" s="131"/>
    </row>
    <row r="479" ht="12.75">
      <c r="D479" s="131"/>
    </row>
    <row r="480" ht="12.75">
      <c r="D480" s="131"/>
    </row>
    <row r="481" ht="12.75">
      <c r="D481" s="131"/>
    </row>
    <row r="482" ht="12.75">
      <c r="D482" s="131"/>
    </row>
    <row r="483" ht="12.75">
      <c r="D483" s="131"/>
    </row>
    <row r="484" ht="12.75">
      <c r="D484" s="131"/>
    </row>
    <row r="485" ht="12.75">
      <c r="D485" s="131"/>
    </row>
    <row r="486" ht="12.75">
      <c r="D486" s="131"/>
    </row>
    <row r="487" ht="12.75">
      <c r="D487" s="131"/>
    </row>
    <row r="488" ht="12.75">
      <c r="D488" s="131"/>
    </row>
    <row r="489" ht="12.75">
      <c r="D489" s="131"/>
    </row>
    <row r="490" ht="12.75">
      <c r="D490" s="131"/>
    </row>
    <row r="491" ht="12.75">
      <c r="D491" s="131"/>
    </row>
    <row r="492" ht="12.75">
      <c r="D492" s="131"/>
    </row>
    <row r="493" ht="12.75">
      <c r="D493" s="131"/>
    </row>
    <row r="494" ht="12.75">
      <c r="D494" s="131"/>
    </row>
    <row r="495" ht="12.75">
      <c r="D495" s="131"/>
    </row>
    <row r="496" ht="12.75">
      <c r="D496" s="131"/>
    </row>
    <row r="497" ht="12.75">
      <c r="D497" s="131"/>
    </row>
    <row r="498" ht="12.75">
      <c r="D498" s="131"/>
    </row>
    <row r="499" ht="12.75">
      <c r="D499" s="131"/>
    </row>
    <row r="500" ht="12.75">
      <c r="D500" s="131"/>
    </row>
    <row r="501" ht="12.75">
      <c r="D501" s="131"/>
    </row>
    <row r="502" ht="12.75">
      <c r="D502" s="131"/>
    </row>
    <row r="503" ht="12.75">
      <c r="D503" s="131"/>
    </row>
    <row r="504" ht="12.75">
      <c r="D504" s="131"/>
    </row>
    <row r="505" ht="12.75">
      <c r="D505" s="131"/>
    </row>
    <row r="506" ht="12.75">
      <c r="D506" s="131"/>
    </row>
    <row r="507" ht="12.75">
      <c r="D507" s="131"/>
    </row>
    <row r="508" ht="12.75">
      <c r="D508" s="131"/>
    </row>
    <row r="509" ht="12.75">
      <c r="D509" s="131"/>
    </row>
    <row r="510" ht="12.75">
      <c r="D510" s="131"/>
    </row>
    <row r="511" ht="12.75">
      <c r="D511" s="131"/>
    </row>
    <row r="512" ht="12.75">
      <c r="D512" s="131"/>
    </row>
    <row r="513" ht="12.75">
      <c r="D513" s="131"/>
    </row>
    <row r="514" ht="12.75">
      <c r="D514" s="131"/>
    </row>
    <row r="515" ht="12.75">
      <c r="D515" s="131"/>
    </row>
    <row r="516" ht="12.75">
      <c r="D516" s="131"/>
    </row>
    <row r="517" ht="12.75">
      <c r="D517" s="131"/>
    </row>
    <row r="518" ht="12.75">
      <c r="D518" s="131"/>
    </row>
    <row r="519" ht="12.75">
      <c r="D519" s="131"/>
    </row>
    <row r="520" ht="12.75">
      <c r="D520" s="131"/>
    </row>
    <row r="521" ht="12.75">
      <c r="D521" s="131"/>
    </row>
    <row r="522" ht="12.75">
      <c r="D522" s="131"/>
    </row>
    <row r="523" ht="12.75">
      <c r="D523" s="131"/>
    </row>
    <row r="524" ht="12.75">
      <c r="D524" s="131"/>
    </row>
    <row r="525" ht="12.75">
      <c r="D525" s="131"/>
    </row>
    <row r="526" ht="12.75">
      <c r="D526" s="131"/>
    </row>
    <row r="527" ht="12.75">
      <c r="D527" s="131"/>
    </row>
    <row r="528" ht="12.75">
      <c r="D528" s="131"/>
    </row>
    <row r="529" ht="12.75">
      <c r="D529" s="131"/>
    </row>
    <row r="530" ht="12.75">
      <c r="D530" s="131"/>
    </row>
    <row r="531" ht="12.75">
      <c r="D531" s="131"/>
    </row>
    <row r="532" ht="12.75">
      <c r="D532" s="131"/>
    </row>
    <row r="533" ht="12.75">
      <c r="D533" s="131"/>
    </row>
    <row r="534" ht="12.75">
      <c r="D534" s="131"/>
    </row>
    <row r="535" ht="12.75">
      <c r="D535" s="131"/>
    </row>
    <row r="536" ht="12.75">
      <c r="D536" s="131"/>
    </row>
    <row r="537" ht="12.75">
      <c r="D537" s="131"/>
    </row>
    <row r="538" ht="12.75">
      <c r="D538" s="131"/>
    </row>
    <row r="539" ht="12.75">
      <c r="D539" s="131"/>
    </row>
    <row r="540" ht="12.75">
      <c r="D540" s="131"/>
    </row>
    <row r="541" ht="12.75">
      <c r="D541" s="131"/>
    </row>
    <row r="542" ht="12.75">
      <c r="D542" s="131"/>
    </row>
    <row r="543" ht="12.75">
      <c r="D543" s="131"/>
    </row>
    <row r="544" ht="12.75">
      <c r="D544" s="131"/>
    </row>
    <row r="545" ht="12.75">
      <c r="D545" s="131"/>
    </row>
    <row r="546" ht="12.75">
      <c r="D546" s="131"/>
    </row>
    <row r="547" ht="12.75">
      <c r="D547" s="131"/>
    </row>
    <row r="548" ht="12.75">
      <c r="D548" s="131"/>
    </row>
    <row r="549" ht="12.75">
      <c r="D549" s="131"/>
    </row>
    <row r="550" ht="12.75">
      <c r="D550" s="131"/>
    </row>
    <row r="551" ht="12.75">
      <c r="D551" s="131"/>
    </row>
    <row r="552" ht="12.75">
      <c r="D552" s="131"/>
    </row>
    <row r="553" ht="12.75">
      <c r="D553" s="131"/>
    </row>
    <row r="554" ht="12.75">
      <c r="D554" s="131"/>
    </row>
    <row r="555" ht="12.75">
      <c r="D555" s="131"/>
    </row>
    <row r="556" ht="12.75">
      <c r="D556" s="131"/>
    </row>
    <row r="557" ht="12.75">
      <c r="D557" s="131"/>
    </row>
    <row r="558" ht="12.75">
      <c r="D558" s="131"/>
    </row>
    <row r="559" ht="12.75">
      <c r="D559" s="131"/>
    </row>
    <row r="560" ht="12.75">
      <c r="D560" s="131"/>
    </row>
    <row r="561" ht="12.75">
      <c r="D561" s="131"/>
    </row>
    <row r="562" ht="12.75">
      <c r="D562" s="131"/>
    </row>
    <row r="563" ht="12.75">
      <c r="D563" s="131"/>
    </row>
    <row r="564" ht="12.75">
      <c r="D564" s="131"/>
    </row>
    <row r="565" ht="12.75">
      <c r="D565" s="131"/>
    </row>
    <row r="566" ht="12.75">
      <c r="D566" s="131"/>
    </row>
    <row r="567" ht="12.75">
      <c r="D567" s="131"/>
    </row>
    <row r="568" ht="12.75">
      <c r="D568" s="131"/>
    </row>
    <row r="569" ht="12.75">
      <c r="D569" s="131"/>
    </row>
    <row r="570" ht="12.75">
      <c r="D570" s="131"/>
    </row>
    <row r="571" ht="12.75">
      <c r="D571" s="131"/>
    </row>
    <row r="572" ht="12.75">
      <c r="D572" s="131"/>
    </row>
    <row r="573" ht="12.75">
      <c r="D573" s="131"/>
    </row>
    <row r="574" ht="12.75">
      <c r="D574" s="131"/>
    </row>
    <row r="575" ht="12.75">
      <c r="D575" s="131"/>
    </row>
    <row r="576" ht="12.75">
      <c r="D576" s="131"/>
    </row>
    <row r="577" ht="12.75">
      <c r="D577" s="131"/>
    </row>
    <row r="578" ht="12.75">
      <c r="D578" s="131"/>
    </row>
    <row r="579" ht="12.75">
      <c r="D579" s="131"/>
    </row>
    <row r="580" ht="12.75">
      <c r="D580" s="131"/>
    </row>
    <row r="581" ht="12.75">
      <c r="D581" s="131"/>
    </row>
    <row r="582" ht="12.75">
      <c r="D582" s="131"/>
    </row>
    <row r="583" ht="12.75">
      <c r="D583" s="131"/>
    </row>
    <row r="584" ht="12.75">
      <c r="D584" s="131"/>
    </row>
    <row r="585" ht="12.75">
      <c r="D585" s="131"/>
    </row>
    <row r="586" ht="12.75">
      <c r="D586" s="131"/>
    </row>
    <row r="587" ht="12.75">
      <c r="D587" s="131"/>
    </row>
    <row r="588" ht="12.75">
      <c r="D588" s="131"/>
    </row>
    <row r="589" ht="12.75">
      <c r="D589" s="131"/>
    </row>
    <row r="590" ht="12.75">
      <c r="D590" s="131"/>
    </row>
    <row r="591" ht="12.75">
      <c r="D591" s="131"/>
    </row>
    <row r="592" ht="12.75">
      <c r="D592" s="131"/>
    </row>
    <row r="593" ht="12.75">
      <c r="D593" s="131"/>
    </row>
    <row r="594" ht="12.75">
      <c r="D594" s="131"/>
    </row>
    <row r="595" ht="12.75">
      <c r="D595" s="131"/>
    </row>
    <row r="596" ht="12.75">
      <c r="D596" s="131"/>
    </row>
    <row r="597" ht="12.75">
      <c r="D597" s="131"/>
    </row>
    <row r="598" ht="12.75">
      <c r="D598" s="131"/>
    </row>
    <row r="599" ht="12.75">
      <c r="D599" s="131"/>
    </row>
    <row r="600" ht="12.75">
      <c r="D600" s="131"/>
    </row>
    <row r="601" ht="12.75">
      <c r="D601" s="131"/>
    </row>
    <row r="602" ht="12.75">
      <c r="D602" s="131"/>
    </row>
    <row r="603" ht="12.75">
      <c r="D603" s="131"/>
    </row>
    <row r="604" ht="12.75">
      <c r="D604" s="131"/>
    </row>
    <row r="605" ht="12.75">
      <c r="D605" s="131"/>
    </row>
    <row r="606" ht="12.75">
      <c r="D606" s="131"/>
    </row>
    <row r="607" ht="12.75">
      <c r="D607" s="131"/>
    </row>
    <row r="608" ht="12.75">
      <c r="D608" s="131"/>
    </row>
    <row r="609" ht="12.75">
      <c r="D609" s="131"/>
    </row>
    <row r="610" ht="12.75">
      <c r="D610" s="131"/>
    </row>
    <row r="611" ht="12.75">
      <c r="D611" s="131"/>
    </row>
    <row r="612" ht="12.75">
      <c r="D612" s="131"/>
    </row>
    <row r="613" ht="12.75">
      <c r="D613" s="131"/>
    </row>
    <row r="614" ht="12.75">
      <c r="D614" s="131"/>
    </row>
    <row r="615" ht="12.75">
      <c r="D615" s="131"/>
    </row>
    <row r="616" ht="12.75">
      <c r="D616" s="131"/>
    </row>
    <row r="617" ht="12.75">
      <c r="D617" s="131"/>
    </row>
    <row r="618" ht="12.75">
      <c r="D618" s="131"/>
    </row>
    <row r="619" ht="12.75">
      <c r="D619" s="131"/>
    </row>
    <row r="620" ht="12.75">
      <c r="D620" s="131"/>
    </row>
    <row r="621" ht="12.75">
      <c r="D621" s="131"/>
    </row>
    <row r="622" ht="12.75">
      <c r="D622" s="131"/>
    </row>
    <row r="623" ht="12.75">
      <c r="D623" s="131"/>
    </row>
    <row r="624" ht="12.75">
      <c r="D624" s="131"/>
    </row>
    <row r="625" ht="12.75">
      <c r="D625" s="131"/>
    </row>
    <row r="626" ht="12.75">
      <c r="D626" s="131"/>
    </row>
    <row r="627" ht="12.75">
      <c r="D627" s="131"/>
    </row>
    <row r="628" ht="12.75">
      <c r="D628" s="131"/>
    </row>
    <row r="629" ht="12.75">
      <c r="D629" s="131"/>
    </row>
    <row r="630" ht="12.75">
      <c r="D630" s="131"/>
    </row>
    <row r="631" ht="12.75">
      <c r="D631" s="131"/>
    </row>
    <row r="632" ht="12.75">
      <c r="D632" s="131"/>
    </row>
    <row r="633" ht="12.75">
      <c r="D633" s="131"/>
    </row>
    <row r="634" ht="12.75">
      <c r="D634" s="131"/>
    </row>
    <row r="635" ht="12.75">
      <c r="D635" s="131"/>
    </row>
    <row r="636" ht="12.75">
      <c r="D636" s="131"/>
    </row>
    <row r="637" ht="12.75">
      <c r="D637" s="131"/>
    </row>
    <row r="638" ht="12.75">
      <c r="D638" s="131"/>
    </row>
    <row r="639" ht="12.75">
      <c r="D639" s="131"/>
    </row>
    <row r="640" ht="12.75">
      <c r="D640" s="131"/>
    </row>
    <row r="641" ht="12.75">
      <c r="D641" s="131"/>
    </row>
    <row r="642" ht="12.75">
      <c r="D642" s="131"/>
    </row>
    <row r="643" ht="12.75">
      <c r="D643" s="131"/>
    </row>
    <row r="644" ht="12.75">
      <c r="D644" s="131"/>
    </row>
    <row r="645" ht="12.75">
      <c r="D645" s="131"/>
    </row>
    <row r="646" ht="12.75">
      <c r="D646" s="131"/>
    </row>
    <row r="647" ht="12.75">
      <c r="D647" s="131"/>
    </row>
    <row r="648" ht="12.75">
      <c r="D648" s="131"/>
    </row>
    <row r="649" ht="12.75">
      <c r="D649" s="131"/>
    </row>
    <row r="650" ht="12.75">
      <c r="D650" s="131"/>
    </row>
    <row r="651" ht="12.75">
      <c r="D651" s="131"/>
    </row>
    <row r="652" ht="12.75">
      <c r="D652" s="131"/>
    </row>
    <row r="653" ht="12.75">
      <c r="D653" s="131"/>
    </row>
    <row r="654" ht="12.75">
      <c r="D654" s="131"/>
    </row>
    <row r="655" ht="12.75">
      <c r="D655" s="131"/>
    </row>
    <row r="656" ht="12.75">
      <c r="D656" s="131"/>
    </row>
    <row r="657" ht="12.75">
      <c r="D657" s="131"/>
    </row>
    <row r="658" ht="12.75">
      <c r="D658" s="131"/>
    </row>
    <row r="659" ht="12.75">
      <c r="D659" s="131"/>
    </row>
    <row r="660" ht="12.75">
      <c r="D660" s="131"/>
    </row>
    <row r="661" ht="12.75">
      <c r="D661" s="131"/>
    </row>
    <row r="662" ht="12.75">
      <c r="D662" s="131"/>
    </row>
    <row r="663" ht="12.75">
      <c r="D663" s="131"/>
    </row>
    <row r="664" ht="12.75">
      <c r="D664" s="131"/>
    </row>
    <row r="665" ht="12.75">
      <c r="D665" s="131"/>
    </row>
    <row r="666" ht="12.75">
      <c r="D666" s="131"/>
    </row>
    <row r="667" ht="12.75">
      <c r="D667" s="131"/>
    </row>
    <row r="668" ht="12.75">
      <c r="D668" s="131"/>
    </row>
    <row r="669" ht="12.75">
      <c r="D669" s="131"/>
    </row>
    <row r="670" ht="12.75">
      <c r="D670" s="131"/>
    </row>
    <row r="671" ht="12.75">
      <c r="D671" s="131"/>
    </row>
    <row r="672" ht="12.75">
      <c r="D672" s="131"/>
    </row>
    <row r="673" ht="12.75">
      <c r="D673" s="131"/>
    </row>
    <row r="674" ht="12.75">
      <c r="D674" s="131"/>
    </row>
    <row r="675" ht="12.75">
      <c r="D675" s="131"/>
    </row>
    <row r="676" ht="12.75">
      <c r="D676" s="131"/>
    </row>
    <row r="677" ht="12.75">
      <c r="D677" s="131"/>
    </row>
    <row r="678" ht="12.75">
      <c r="D678" s="131"/>
    </row>
    <row r="679" ht="12.75">
      <c r="D679" s="131"/>
    </row>
    <row r="680" ht="12.75">
      <c r="D680" s="131"/>
    </row>
    <row r="681" ht="12.75">
      <c r="D681" s="131"/>
    </row>
    <row r="682" ht="12.75">
      <c r="D682" s="131"/>
    </row>
    <row r="683" ht="12.75">
      <c r="D683" s="131"/>
    </row>
    <row r="684" ht="12.75">
      <c r="D684" s="131"/>
    </row>
    <row r="685" ht="12.75">
      <c r="D685" s="131"/>
    </row>
    <row r="686" ht="12.75">
      <c r="D686" s="131"/>
    </row>
    <row r="687" ht="12.75">
      <c r="D687" s="131"/>
    </row>
    <row r="688" ht="12.75">
      <c r="D688" s="131"/>
    </row>
    <row r="689" ht="12.75">
      <c r="D689" s="131"/>
    </row>
    <row r="690" ht="12.75">
      <c r="D690" s="131"/>
    </row>
    <row r="691" ht="12.75">
      <c r="D691" s="131"/>
    </row>
    <row r="692" ht="12.75">
      <c r="D692" s="131"/>
    </row>
    <row r="693" ht="12.75">
      <c r="D693" s="131"/>
    </row>
    <row r="694" ht="12.75">
      <c r="D694" s="131"/>
    </row>
    <row r="695" ht="12.75">
      <c r="D695" s="131"/>
    </row>
    <row r="696" ht="12.75">
      <c r="D696" s="131"/>
    </row>
    <row r="697" ht="12.75">
      <c r="D697" s="131"/>
    </row>
    <row r="698" ht="12.75">
      <c r="D698" s="131"/>
    </row>
    <row r="699" ht="12.75">
      <c r="D699" s="131"/>
    </row>
    <row r="700" ht="12.75">
      <c r="D700" s="131"/>
    </row>
    <row r="701" ht="12.75">
      <c r="D701" s="131"/>
    </row>
    <row r="702" ht="12.75">
      <c r="D702" s="131"/>
    </row>
    <row r="703" ht="12.75">
      <c r="D703" s="131"/>
    </row>
    <row r="704" ht="12.75">
      <c r="D704" s="131"/>
    </row>
    <row r="705" ht="12.75">
      <c r="D705" s="131"/>
    </row>
    <row r="706" ht="12.75">
      <c r="D706" s="131"/>
    </row>
    <row r="707" ht="12.75">
      <c r="D707" s="131"/>
    </row>
    <row r="708" ht="12.75">
      <c r="D708" s="131"/>
    </row>
    <row r="709" ht="12.75">
      <c r="D709" s="131"/>
    </row>
    <row r="710" ht="12.75">
      <c r="D710" s="131"/>
    </row>
    <row r="711" ht="12.75">
      <c r="D711" s="131"/>
    </row>
    <row r="712" ht="12.75">
      <c r="D712" s="131"/>
    </row>
    <row r="713" ht="12.75">
      <c r="D713" s="131"/>
    </row>
    <row r="714" ht="12.75">
      <c r="D714" s="131"/>
    </row>
    <row r="715" ht="12.75">
      <c r="D715" s="131"/>
    </row>
    <row r="716" ht="12.75">
      <c r="D716" s="131"/>
    </row>
    <row r="717" ht="12.75">
      <c r="D717" s="131"/>
    </row>
    <row r="718" ht="12.75">
      <c r="D718" s="131"/>
    </row>
    <row r="719" ht="12.75">
      <c r="D719" s="131"/>
    </row>
    <row r="720" ht="12.75">
      <c r="D720" s="131"/>
    </row>
    <row r="721" ht="12.75">
      <c r="D721" s="131"/>
    </row>
    <row r="722" ht="12.75">
      <c r="D722" s="131"/>
    </row>
    <row r="723" ht="12.75">
      <c r="D723" s="131"/>
    </row>
    <row r="724" ht="12.75">
      <c r="D724" s="131"/>
    </row>
    <row r="725" ht="12.75">
      <c r="D725" s="131"/>
    </row>
    <row r="726" ht="12.75">
      <c r="D726" s="131"/>
    </row>
    <row r="727" ht="12.75">
      <c r="D727" s="131"/>
    </row>
    <row r="728" ht="12.75">
      <c r="D728" s="131"/>
    </row>
    <row r="729" ht="12.75">
      <c r="D729" s="131"/>
    </row>
    <row r="730" ht="12.75">
      <c r="D730" s="131"/>
    </row>
    <row r="731" ht="12.75">
      <c r="D731" s="131"/>
    </row>
    <row r="732" ht="12.75">
      <c r="D732" s="131"/>
    </row>
    <row r="733" ht="12.75">
      <c r="D733" s="131"/>
    </row>
    <row r="734" ht="12.75">
      <c r="D734" s="131"/>
    </row>
    <row r="735" ht="12.75">
      <c r="D735" s="131"/>
    </row>
    <row r="736" ht="12.75">
      <c r="D736" s="131"/>
    </row>
    <row r="737" ht="12.75">
      <c r="D737" s="131"/>
    </row>
    <row r="738" ht="12.75">
      <c r="D738" s="131"/>
    </row>
    <row r="739" ht="12.75">
      <c r="D739" s="131"/>
    </row>
    <row r="740" ht="12.75">
      <c r="D740" s="131"/>
    </row>
    <row r="741" ht="12.75">
      <c r="D741" s="131"/>
    </row>
    <row r="742" ht="12.75">
      <c r="D742" s="131"/>
    </row>
    <row r="743" ht="12.75">
      <c r="D743" s="131"/>
    </row>
    <row r="744" ht="12.75">
      <c r="D744" s="131"/>
    </row>
    <row r="745" ht="12.75">
      <c r="D745" s="131"/>
    </row>
    <row r="746" ht="12.75">
      <c r="D746" s="131"/>
    </row>
    <row r="747" ht="12.75">
      <c r="D747" s="131"/>
    </row>
    <row r="748" ht="12.75">
      <c r="D748" s="131"/>
    </row>
    <row r="749" ht="12.75">
      <c r="D749" s="131"/>
    </row>
    <row r="750" ht="12.75">
      <c r="D750" s="131"/>
    </row>
    <row r="751" ht="12.75">
      <c r="D751" s="131"/>
    </row>
    <row r="752" ht="12.75">
      <c r="D752" s="131"/>
    </row>
    <row r="753" ht="12.75">
      <c r="D753" s="131"/>
    </row>
    <row r="754" ht="12.75">
      <c r="D754" s="131"/>
    </row>
    <row r="755" ht="12.75">
      <c r="D755" s="131"/>
    </row>
    <row r="756" ht="12.75">
      <c r="D756" s="131"/>
    </row>
    <row r="757" ht="12.75">
      <c r="D757" s="131"/>
    </row>
    <row r="758" ht="12.75">
      <c r="D758" s="131"/>
    </row>
    <row r="759" ht="12.75">
      <c r="D759" s="131"/>
    </row>
    <row r="760" ht="12.75">
      <c r="D760" s="131"/>
    </row>
    <row r="761" ht="12.75">
      <c r="D761" s="131"/>
    </row>
    <row r="762" ht="12.75">
      <c r="D762" s="131"/>
    </row>
    <row r="763" ht="12.75">
      <c r="D763" s="131"/>
    </row>
    <row r="764" ht="12.75">
      <c r="D764" s="131"/>
    </row>
    <row r="765" ht="12.75">
      <c r="D765" s="131"/>
    </row>
    <row r="766" ht="12.75">
      <c r="D766" s="131"/>
    </row>
    <row r="767" ht="12.75">
      <c r="D767" s="131"/>
    </row>
    <row r="768" ht="12.75">
      <c r="D768" s="131"/>
    </row>
    <row r="769" ht="12.75">
      <c r="D769" s="131"/>
    </row>
    <row r="770" ht="12.75">
      <c r="D770" s="131"/>
    </row>
    <row r="771" ht="12.75">
      <c r="D771" s="131"/>
    </row>
    <row r="772" ht="12.75">
      <c r="D772" s="131"/>
    </row>
    <row r="773" ht="12.75">
      <c r="D773" s="131"/>
    </row>
    <row r="774" ht="12.75">
      <c r="D774" s="131"/>
    </row>
    <row r="775" ht="12.75">
      <c r="D775" s="131"/>
    </row>
    <row r="776" ht="12.75">
      <c r="D776" s="131"/>
    </row>
    <row r="777" ht="12.75">
      <c r="D777" s="131"/>
    </row>
    <row r="778" ht="12.75">
      <c r="D778" s="131"/>
    </row>
    <row r="779" ht="12.75">
      <c r="D779" s="131"/>
    </row>
    <row r="780" ht="12.75">
      <c r="D780" s="131"/>
    </row>
    <row r="781" ht="12.75">
      <c r="D781" s="131"/>
    </row>
    <row r="782" ht="12.75">
      <c r="D782" s="131"/>
    </row>
    <row r="783" ht="12.75">
      <c r="D783" s="131"/>
    </row>
    <row r="784" ht="12.75">
      <c r="D784" s="131"/>
    </row>
    <row r="785" ht="12.75">
      <c r="D785" s="131"/>
    </row>
    <row r="786" ht="12.75">
      <c r="D786" s="131"/>
    </row>
    <row r="787" ht="12.75">
      <c r="D787" s="131"/>
    </row>
    <row r="788" ht="12.75">
      <c r="D788" s="131"/>
    </row>
    <row r="789" ht="12.75">
      <c r="D789" s="131"/>
    </row>
    <row r="790" ht="12.75">
      <c r="D790" s="131"/>
    </row>
    <row r="791" ht="12.75">
      <c r="D791" s="131"/>
    </row>
    <row r="792" ht="12.75">
      <c r="D792" s="131"/>
    </row>
    <row r="793" ht="12.75">
      <c r="D793" s="131"/>
    </row>
    <row r="794" ht="12.75">
      <c r="D794" s="131"/>
    </row>
    <row r="795" ht="12.75">
      <c r="D795" s="131"/>
    </row>
    <row r="796" ht="12.75">
      <c r="D796" s="131"/>
    </row>
    <row r="797" ht="12.75">
      <c r="D797" s="131"/>
    </row>
    <row r="798" ht="12.75">
      <c r="D798" s="131"/>
    </row>
    <row r="799" ht="12.75">
      <c r="D799" s="131"/>
    </row>
    <row r="800" ht="12.75">
      <c r="D800" s="131"/>
    </row>
    <row r="801" ht="12.75">
      <c r="D801" s="131"/>
    </row>
    <row r="802" ht="12.75">
      <c r="D802" s="131"/>
    </row>
    <row r="803" ht="12.75">
      <c r="D803" s="131"/>
    </row>
    <row r="804" ht="12.75">
      <c r="D804" s="131"/>
    </row>
    <row r="805" ht="12.75">
      <c r="D805" s="131"/>
    </row>
    <row r="806" ht="12.75">
      <c r="D806" s="131"/>
    </row>
    <row r="807" ht="12.75">
      <c r="D807" s="131"/>
    </row>
    <row r="808" ht="12.75">
      <c r="D808" s="131"/>
    </row>
    <row r="809" ht="12.75">
      <c r="D809" s="131"/>
    </row>
    <row r="810" ht="12.75">
      <c r="D810" s="131"/>
    </row>
    <row r="811" ht="12.75">
      <c r="D811" s="131"/>
    </row>
    <row r="812" ht="12.75">
      <c r="D812" s="131"/>
    </row>
    <row r="813" ht="12.75">
      <c r="D813" s="131"/>
    </row>
    <row r="814" ht="12.75">
      <c r="D814" s="131"/>
    </row>
    <row r="815" ht="12.75">
      <c r="D815" s="131"/>
    </row>
    <row r="816" ht="12.75">
      <c r="D816" s="131"/>
    </row>
    <row r="817" ht="12.75">
      <c r="D817" s="131"/>
    </row>
    <row r="818" ht="12.75">
      <c r="D818" s="131"/>
    </row>
    <row r="819" ht="12.75">
      <c r="D819" s="131"/>
    </row>
    <row r="820" ht="12.75">
      <c r="D820" s="131"/>
    </row>
    <row r="821" ht="12.75">
      <c r="D821" s="131"/>
    </row>
    <row r="822" ht="12.75">
      <c r="D822" s="131"/>
    </row>
    <row r="823" ht="12.75">
      <c r="D823" s="131"/>
    </row>
    <row r="824" ht="12.75">
      <c r="D824" s="131"/>
    </row>
    <row r="825" ht="12.75">
      <c r="D825" s="131"/>
    </row>
    <row r="826" ht="12.75">
      <c r="D826" s="131"/>
    </row>
    <row r="827" ht="12.75">
      <c r="D827" s="131"/>
    </row>
    <row r="828" ht="12.75">
      <c r="D828" s="131"/>
    </row>
    <row r="829" ht="12.75">
      <c r="D829" s="131"/>
    </row>
    <row r="830" ht="12.75">
      <c r="D830" s="131"/>
    </row>
    <row r="831" ht="12.75">
      <c r="D831" s="131"/>
    </row>
    <row r="832" ht="12.75">
      <c r="D832" s="131"/>
    </row>
    <row r="833" ht="12.75">
      <c r="D833" s="131"/>
    </row>
    <row r="834" ht="12.75">
      <c r="D834" s="131"/>
    </row>
    <row r="835" ht="12.75">
      <c r="D835" s="131"/>
    </row>
    <row r="836" ht="12.75">
      <c r="D836" s="131"/>
    </row>
    <row r="837" ht="12.75">
      <c r="D837" s="131"/>
    </row>
    <row r="838" ht="12.75">
      <c r="D838" s="131"/>
    </row>
    <row r="839" ht="12.75">
      <c r="D839" s="131"/>
    </row>
    <row r="840" ht="12.75">
      <c r="D840" s="131"/>
    </row>
    <row r="841" ht="12.75">
      <c r="D841" s="131"/>
    </row>
    <row r="842" ht="12.75">
      <c r="D842" s="131"/>
    </row>
    <row r="843" ht="12.75">
      <c r="D843" s="131"/>
    </row>
    <row r="844" ht="12.75">
      <c r="D844" s="131"/>
    </row>
    <row r="845" ht="12.75">
      <c r="D845" s="131"/>
    </row>
    <row r="846" ht="12.75">
      <c r="D846" s="131"/>
    </row>
    <row r="847" ht="12.75">
      <c r="D847" s="131"/>
    </row>
    <row r="848" ht="12.75">
      <c r="D848" s="131"/>
    </row>
    <row r="849" ht="12.75">
      <c r="D849" s="131"/>
    </row>
    <row r="850" ht="12.75">
      <c r="D850" s="131"/>
    </row>
    <row r="851" ht="12.75">
      <c r="D851" s="131"/>
    </row>
    <row r="852" ht="12.75">
      <c r="D852" s="131"/>
    </row>
    <row r="853" ht="12.75">
      <c r="D853" s="131"/>
    </row>
    <row r="854" ht="12.75">
      <c r="D854" s="131"/>
    </row>
    <row r="855" ht="12.75">
      <c r="D855" s="131"/>
    </row>
    <row r="856" ht="12.75">
      <c r="D856" s="131"/>
    </row>
    <row r="857" ht="12.75">
      <c r="D857" s="131"/>
    </row>
    <row r="858" ht="12.75">
      <c r="D858" s="131"/>
    </row>
    <row r="859" ht="12.75">
      <c r="D859" s="131"/>
    </row>
    <row r="860" ht="12.75">
      <c r="D860" s="131"/>
    </row>
    <row r="861" ht="12.75">
      <c r="D861" s="131"/>
    </row>
    <row r="862" ht="12.75">
      <c r="D862" s="131"/>
    </row>
    <row r="863" ht="12.75">
      <c r="D863" s="131"/>
    </row>
    <row r="864" ht="12.75">
      <c r="D864" s="131"/>
    </row>
    <row r="865" ht="12.75">
      <c r="D865" s="131"/>
    </row>
    <row r="866" ht="12.75">
      <c r="D866" s="131"/>
    </row>
    <row r="867" ht="12.75">
      <c r="D867" s="131"/>
    </row>
    <row r="868" ht="12.75">
      <c r="D868" s="131"/>
    </row>
    <row r="869" ht="12.75">
      <c r="D869" s="131"/>
    </row>
    <row r="870" ht="12.75">
      <c r="D870" s="131"/>
    </row>
    <row r="871" ht="12.75">
      <c r="D871" s="131"/>
    </row>
    <row r="872" ht="12.75">
      <c r="D872" s="131"/>
    </row>
    <row r="873" ht="12.75">
      <c r="D873" s="131"/>
    </row>
    <row r="874" ht="12.75">
      <c r="D874" s="131"/>
    </row>
    <row r="875" ht="12.75">
      <c r="D875" s="131"/>
    </row>
    <row r="876" ht="12.75">
      <c r="D876" s="131"/>
    </row>
    <row r="877" ht="12.75">
      <c r="D877" s="131"/>
    </row>
    <row r="878" ht="12.75">
      <c r="D878" s="131"/>
    </row>
    <row r="879" ht="12.75">
      <c r="D879" s="131"/>
    </row>
    <row r="880" ht="12.75">
      <c r="D880" s="131"/>
    </row>
    <row r="881" ht="12.75">
      <c r="D881" s="131"/>
    </row>
    <row r="882" ht="12.75">
      <c r="D882" s="131"/>
    </row>
    <row r="883" ht="12.75">
      <c r="D883" s="131"/>
    </row>
    <row r="884" ht="12.75">
      <c r="D884" s="131"/>
    </row>
    <row r="885" ht="12.75">
      <c r="D885" s="131"/>
    </row>
    <row r="886" ht="12.75">
      <c r="D886" s="131"/>
    </row>
    <row r="887" ht="12.75">
      <c r="D887" s="131"/>
    </row>
    <row r="888" ht="12.75">
      <c r="D888" s="131"/>
    </row>
    <row r="889" ht="12.75">
      <c r="D889" s="131"/>
    </row>
    <row r="890" ht="12.75">
      <c r="D890" s="131"/>
    </row>
    <row r="891" ht="12.75">
      <c r="D891" s="131"/>
    </row>
    <row r="892" ht="12.75">
      <c r="D892" s="131"/>
    </row>
    <row r="893" ht="12.75">
      <c r="D893" s="131"/>
    </row>
    <row r="894" ht="12.75">
      <c r="D894" s="131"/>
    </row>
    <row r="895" ht="12.75">
      <c r="D895" s="131"/>
    </row>
    <row r="896" ht="12.75">
      <c r="D896" s="131"/>
    </row>
    <row r="897" ht="12.75">
      <c r="D897" s="131"/>
    </row>
    <row r="898" ht="12.75">
      <c r="D898" s="131"/>
    </row>
    <row r="899" ht="12.75">
      <c r="D899" s="131"/>
    </row>
    <row r="900" ht="12.75">
      <c r="D900" s="131"/>
    </row>
    <row r="901" ht="12.75">
      <c r="D901" s="131"/>
    </row>
    <row r="902" ht="12.75">
      <c r="D902" s="131"/>
    </row>
    <row r="903" ht="12.75">
      <c r="D903" s="131"/>
    </row>
    <row r="904" ht="12.75">
      <c r="D904" s="131"/>
    </row>
    <row r="905" ht="12.75">
      <c r="D905" s="131"/>
    </row>
    <row r="906" ht="12.75">
      <c r="D906" s="131"/>
    </row>
    <row r="907" ht="12.75">
      <c r="D907" s="131"/>
    </row>
    <row r="908" ht="12.75">
      <c r="D908" s="131"/>
    </row>
    <row r="909" ht="12.75">
      <c r="D909" s="131"/>
    </row>
    <row r="910" ht="12.75">
      <c r="D910" s="131"/>
    </row>
    <row r="911" ht="12.75">
      <c r="D911" s="131"/>
    </row>
    <row r="912" ht="12.75">
      <c r="D912" s="131"/>
    </row>
    <row r="913" ht="12.75">
      <c r="D913" s="131"/>
    </row>
    <row r="914" ht="12.75">
      <c r="D914" s="131"/>
    </row>
    <row r="915" ht="12.75">
      <c r="D915" s="131"/>
    </row>
    <row r="916" ht="12.75">
      <c r="D916" s="131"/>
    </row>
    <row r="917" ht="12.75">
      <c r="D917" s="131"/>
    </row>
    <row r="918" ht="12.75">
      <c r="D918" s="131"/>
    </row>
    <row r="919" ht="12.75">
      <c r="D919" s="131"/>
    </row>
    <row r="920" ht="12.75">
      <c r="D920" s="131"/>
    </row>
    <row r="921" ht="12.75">
      <c r="D921" s="131"/>
    </row>
    <row r="922" ht="12.75">
      <c r="D922" s="131"/>
    </row>
    <row r="923" ht="12.75">
      <c r="D923" s="131"/>
    </row>
    <row r="924" ht="12.75">
      <c r="D924" s="131"/>
    </row>
    <row r="925" ht="12.75">
      <c r="D925" s="131"/>
    </row>
    <row r="926" ht="12.75">
      <c r="D926" s="131"/>
    </row>
    <row r="927" ht="12.75">
      <c r="D927" s="131"/>
    </row>
    <row r="928" ht="12.75">
      <c r="D928" s="131"/>
    </row>
    <row r="929" ht="12.75">
      <c r="D929" s="131"/>
    </row>
    <row r="930" ht="12.75">
      <c r="D930" s="131"/>
    </row>
    <row r="931" ht="12.75">
      <c r="D931" s="131"/>
    </row>
    <row r="932" ht="12.75">
      <c r="D932" s="131"/>
    </row>
    <row r="933" ht="12.75">
      <c r="D933" s="131"/>
    </row>
    <row r="934" ht="12.75">
      <c r="D934" s="131"/>
    </row>
    <row r="935" ht="12.75">
      <c r="D935" s="131"/>
    </row>
    <row r="936" ht="12.75">
      <c r="D936" s="131"/>
    </row>
    <row r="937" ht="12.75">
      <c r="D937" s="131"/>
    </row>
    <row r="938" ht="12.75">
      <c r="D938" s="131"/>
    </row>
    <row r="939" ht="12.75">
      <c r="D939" s="131"/>
    </row>
    <row r="940" ht="12.75">
      <c r="D940" s="131"/>
    </row>
    <row r="941" ht="12.75">
      <c r="D941" s="131"/>
    </row>
    <row r="942" ht="12.75">
      <c r="D942" s="131"/>
    </row>
    <row r="943" ht="12.75">
      <c r="D943" s="131"/>
    </row>
    <row r="944" ht="12.75">
      <c r="D944" s="131"/>
    </row>
    <row r="945" ht="12.75">
      <c r="D945" s="131"/>
    </row>
    <row r="946" ht="12.75">
      <c r="D946" s="131"/>
    </row>
    <row r="947" ht="12.75">
      <c r="D947" s="131"/>
    </row>
    <row r="948" ht="12.75">
      <c r="D948" s="131"/>
    </row>
    <row r="949" ht="12.75">
      <c r="D949" s="131"/>
    </row>
    <row r="950" ht="12.75">
      <c r="D950" s="131"/>
    </row>
    <row r="951" ht="12.75">
      <c r="D951" s="131"/>
    </row>
    <row r="952" ht="12.75">
      <c r="D952" s="131"/>
    </row>
    <row r="953" ht="12.75">
      <c r="D953" s="131"/>
    </row>
    <row r="954" ht="12.75">
      <c r="D954" s="131"/>
    </row>
    <row r="955" ht="12.75">
      <c r="D955" s="131"/>
    </row>
    <row r="956" ht="12.75">
      <c r="D956" s="131"/>
    </row>
    <row r="957" ht="12.75">
      <c r="D957" s="131"/>
    </row>
    <row r="958" ht="12.75">
      <c r="D958" s="131"/>
    </row>
    <row r="959" ht="12.75">
      <c r="D959" s="131"/>
    </row>
    <row r="960" ht="12.75">
      <c r="D960" s="131"/>
    </row>
    <row r="961" ht="12.75">
      <c r="D961" s="131"/>
    </row>
    <row r="962" ht="12.75">
      <c r="D962" s="131"/>
    </row>
    <row r="963" ht="12.75">
      <c r="D963" s="131"/>
    </row>
    <row r="964" ht="12.75">
      <c r="D964" s="131"/>
    </row>
    <row r="965" ht="12.75">
      <c r="D965" s="131"/>
    </row>
    <row r="966" ht="12.75">
      <c r="D966" s="131"/>
    </row>
    <row r="967" ht="12.75">
      <c r="D967" s="131"/>
    </row>
    <row r="968" ht="12.75">
      <c r="D968" s="131"/>
    </row>
    <row r="969" ht="12.75">
      <c r="D969" s="131"/>
    </row>
    <row r="970" ht="12.75">
      <c r="D970" s="131"/>
    </row>
    <row r="971" ht="12.75">
      <c r="D971" s="131"/>
    </row>
    <row r="972" ht="12.75">
      <c r="D972" s="131"/>
    </row>
    <row r="973" ht="12.75">
      <c r="D973" s="131"/>
    </row>
    <row r="974" ht="12.75">
      <c r="D974" s="131"/>
    </row>
    <row r="975" ht="12.75">
      <c r="D975" s="131"/>
    </row>
    <row r="976" ht="12.75">
      <c r="D976" s="131"/>
    </row>
    <row r="977" ht="12.75">
      <c r="D977" s="131"/>
    </row>
    <row r="978" ht="12.75">
      <c r="D978" s="131"/>
    </row>
    <row r="979" ht="12.75">
      <c r="D979" s="131"/>
    </row>
    <row r="980" ht="12.75">
      <c r="D980" s="131"/>
    </row>
    <row r="981" ht="12.75">
      <c r="D981" s="131"/>
    </row>
    <row r="982" ht="12.75">
      <c r="D982" s="131"/>
    </row>
    <row r="983" ht="12.75">
      <c r="D983" s="131"/>
    </row>
    <row r="984" ht="12.75">
      <c r="D984" s="131"/>
    </row>
    <row r="985" ht="12.75">
      <c r="D985" s="131"/>
    </row>
    <row r="986" ht="12.75">
      <c r="D986" s="131"/>
    </row>
    <row r="987" ht="12.75">
      <c r="D987" s="131"/>
    </row>
    <row r="988" ht="12.75">
      <c r="D988" s="131"/>
    </row>
    <row r="989" ht="12.75">
      <c r="D989" s="131"/>
    </row>
    <row r="990" ht="12.75">
      <c r="D990" s="131"/>
    </row>
    <row r="991" ht="12.75">
      <c r="D991" s="131"/>
    </row>
    <row r="992" ht="12.75">
      <c r="D992" s="131"/>
    </row>
    <row r="993" ht="12.75">
      <c r="D993" s="131"/>
    </row>
  </sheetData>
  <printOptions horizontalCentered="1"/>
  <pageMargins left="0" right="0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L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7" width="11.7109375" style="0" customWidth="1"/>
    <col min="8" max="8" width="10.7109375" style="0" customWidth="1"/>
  </cols>
  <sheetData>
    <row r="2" spans="1:4" ht="12.75">
      <c r="A2" t="s">
        <v>24</v>
      </c>
      <c r="B2" t="s">
        <v>25</v>
      </c>
      <c r="C2" s="33">
        <v>1000</v>
      </c>
      <c r="D2" t="s">
        <v>26</v>
      </c>
    </row>
    <row r="4" spans="2:7" ht="12.75">
      <c r="B4" s="21" t="s">
        <v>23</v>
      </c>
      <c r="C4" s="21" t="s">
        <v>16</v>
      </c>
      <c r="D4" s="21"/>
      <c r="E4" s="21"/>
      <c r="F4" s="21"/>
      <c r="G4" s="18"/>
    </row>
    <row r="5" spans="2:7" ht="12.75">
      <c r="B5" s="22" t="s">
        <v>21</v>
      </c>
      <c r="C5" s="22" t="s">
        <v>17</v>
      </c>
      <c r="D5" s="22"/>
      <c r="E5" s="22" t="s">
        <v>14</v>
      </c>
      <c r="F5" s="22" t="s">
        <v>13</v>
      </c>
      <c r="G5" s="19" t="s">
        <v>13</v>
      </c>
    </row>
    <row r="6" spans="2:7" ht="12.75">
      <c r="B6" s="23" t="s">
        <v>22</v>
      </c>
      <c r="C6" s="23" t="s">
        <v>18</v>
      </c>
      <c r="D6" s="23" t="s">
        <v>12</v>
      </c>
      <c r="E6" s="23" t="s">
        <v>15</v>
      </c>
      <c r="F6" s="23" t="s">
        <v>19</v>
      </c>
      <c r="G6" s="20" t="s">
        <v>20</v>
      </c>
    </row>
    <row r="7" spans="1:7" ht="12.75">
      <c r="A7" s="1"/>
      <c r="B7" s="24">
        <v>8</v>
      </c>
      <c r="C7" s="24">
        <v>16</v>
      </c>
      <c r="D7" s="24">
        <v>30</v>
      </c>
      <c r="E7" s="24">
        <v>32</v>
      </c>
      <c r="F7" s="24">
        <v>70</v>
      </c>
      <c r="G7" s="24">
        <v>180</v>
      </c>
    </row>
    <row r="9" spans="1:9" ht="12.75">
      <c r="A9" s="26">
        <v>2</v>
      </c>
      <c r="B9" s="27">
        <f aca="true" t="shared" si="0" ref="B9:G9">1/($A9^2/B$7/$C$2)</f>
        <v>2000</v>
      </c>
      <c r="C9" s="27">
        <f t="shared" si="0"/>
        <v>4000</v>
      </c>
      <c r="D9" s="27">
        <f t="shared" si="0"/>
        <v>7500</v>
      </c>
      <c r="E9" s="27">
        <f t="shared" si="0"/>
        <v>8000</v>
      </c>
      <c r="F9" s="27">
        <f t="shared" si="0"/>
        <v>17500</v>
      </c>
      <c r="G9" s="27">
        <f t="shared" si="0"/>
        <v>45000</v>
      </c>
      <c r="H9" s="25"/>
      <c r="I9" s="25"/>
    </row>
    <row r="10" spans="1:9" ht="12.75">
      <c r="A10" s="26">
        <v>2.8</v>
      </c>
      <c r="B10" s="27">
        <f aca="true" t="shared" si="1" ref="B10:G35">1/($A10^2/B$7/$C$2)</f>
        <v>1020.4081632653061</v>
      </c>
      <c r="C10" s="27">
        <f t="shared" si="1"/>
        <v>2040.8163265306123</v>
      </c>
      <c r="D10" s="27">
        <f t="shared" si="1"/>
        <v>3826.5306122448983</v>
      </c>
      <c r="E10" s="27">
        <f t="shared" si="1"/>
        <v>4081.6326530612246</v>
      </c>
      <c r="F10" s="27">
        <f t="shared" si="1"/>
        <v>8928.57142857143</v>
      </c>
      <c r="G10" s="27">
        <f t="shared" si="1"/>
        <v>22959.18367346939</v>
      </c>
      <c r="H10" s="25"/>
      <c r="I10" s="25"/>
    </row>
    <row r="11" spans="1:9" ht="12.75">
      <c r="A11" s="26">
        <v>4</v>
      </c>
      <c r="B11" s="27">
        <f t="shared" si="1"/>
        <v>500</v>
      </c>
      <c r="C11" s="27">
        <f t="shared" si="1"/>
        <v>1000</v>
      </c>
      <c r="D11" s="27">
        <f t="shared" si="1"/>
        <v>1875</v>
      </c>
      <c r="E11" s="27">
        <f t="shared" si="1"/>
        <v>2000</v>
      </c>
      <c r="F11" s="27">
        <f t="shared" si="1"/>
        <v>4375</v>
      </c>
      <c r="G11" s="27">
        <f t="shared" si="1"/>
        <v>11250</v>
      </c>
      <c r="H11" s="25"/>
      <c r="I11" s="25"/>
    </row>
    <row r="12" spans="1:9" ht="12.75">
      <c r="A12" s="26">
        <v>4.5</v>
      </c>
      <c r="B12" s="27">
        <f t="shared" si="1"/>
        <v>395.0617283950617</v>
      </c>
      <c r="C12" s="27">
        <f t="shared" si="1"/>
        <v>790.1234567901234</v>
      </c>
      <c r="D12" s="27">
        <f t="shared" si="1"/>
        <v>1481.4814814814813</v>
      </c>
      <c r="E12" s="27">
        <f t="shared" si="1"/>
        <v>1580.2469135802469</v>
      </c>
      <c r="F12" s="27">
        <f t="shared" si="1"/>
        <v>3456.79012345679</v>
      </c>
      <c r="G12" s="27">
        <f t="shared" si="1"/>
        <v>8888.888888888889</v>
      </c>
      <c r="H12" s="25"/>
      <c r="I12" s="25"/>
    </row>
    <row r="13" spans="1:9" ht="12.75">
      <c r="A13" s="26">
        <v>5</v>
      </c>
      <c r="B13" s="27">
        <f t="shared" si="1"/>
        <v>320</v>
      </c>
      <c r="C13" s="27">
        <f t="shared" si="1"/>
        <v>640</v>
      </c>
      <c r="D13" s="27">
        <f t="shared" si="1"/>
        <v>1200</v>
      </c>
      <c r="E13" s="27">
        <f t="shared" si="1"/>
        <v>1280</v>
      </c>
      <c r="F13" s="27">
        <f t="shared" si="1"/>
        <v>2800</v>
      </c>
      <c r="G13" s="27">
        <f t="shared" si="1"/>
        <v>7200</v>
      </c>
      <c r="H13" s="25"/>
      <c r="I13" s="25"/>
    </row>
    <row r="14" spans="1:9" ht="12.75">
      <c r="A14" s="26">
        <v>5.6</v>
      </c>
      <c r="B14" s="27">
        <f t="shared" si="1"/>
        <v>255.10204081632654</v>
      </c>
      <c r="C14" s="27">
        <f t="shared" si="1"/>
        <v>510.2040816326531</v>
      </c>
      <c r="D14" s="27">
        <f t="shared" si="1"/>
        <v>956.6326530612246</v>
      </c>
      <c r="E14" s="27">
        <f t="shared" si="1"/>
        <v>1020.4081632653061</v>
      </c>
      <c r="F14" s="27">
        <f t="shared" si="1"/>
        <v>2232.1428571428573</v>
      </c>
      <c r="G14" s="27">
        <f t="shared" si="1"/>
        <v>5739.795918367347</v>
      </c>
      <c r="H14" s="25"/>
      <c r="I14" s="25"/>
    </row>
    <row r="15" spans="1:9" ht="12.75">
      <c r="A15" s="26">
        <v>6.3</v>
      </c>
      <c r="B15" s="27">
        <f t="shared" si="1"/>
        <v>201.5621063240111</v>
      </c>
      <c r="C15" s="27">
        <f t="shared" si="1"/>
        <v>403.1242126480222</v>
      </c>
      <c r="D15" s="27">
        <f t="shared" si="1"/>
        <v>755.8578987150416</v>
      </c>
      <c r="E15" s="27">
        <f t="shared" si="1"/>
        <v>806.2484252960444</v>
      </c>
      <c r="F15" s="27">
        <f t="shared" si="1"/>
        <v>1763.6684303350974</v>
      </c>
      <c r="G15" s="27">
        <f t="shared" si="1"/>
        <v>4535.1473922902505</v>
      </c>
      <c r="H15" s="25"/>
      <c r="I15" s="25"/>
    </row>
    <row r="16" spans="1:9" ht="12.75">
      <c r="A16" s="26">
        <v>8</v>
      </c>
      <c r="B16" s="27">
        <f t="shared" si="1"/>
        <v>125</v>
      </c>
      <c r="C16" s="27">
        <f t="shared" si="1"/>
        <v>250</v>
      </c>
      <c r="D16" s="27">
        <f t="shared" si="1"/>
        <v>468.75</v>
      </c>
      <c r="E16" s="27">
        <f t="shared" si="1"/>
        <v>500</v>
      </c>
      <c r="F16" s="27">
        <f t="shared" si="1"/>
        <v>1093.75</v>
      </c>
      <c r="G16" s="27">
        <f t="shared" si="1"/>
        <v>2812.5</v>
      </c>
      <c r="H16" s="25"/>
      <c r="I16" s="25"/>
    </row>
    <row r="17" spans="1:9" ht="12.75">
      <c r="A17" s="26">
        <v>10</v>
      </c>
      <c r="B17" s="27">
        <f t="shared" si="1"/>
        <v>80</v>
      </c>
      <c r="C17" s="27">
        <f t="shared" si="1"/>
        <v>160</v>
      </c>
      <c r="D17" s="27">
        <f t="shared" si="1"/>
        <v>300</v>
      </c>
      <c r="E17" s="27">
        <f t="shared" si="1"/>
        <v>320</v>
      </c>
      <c r="F17" s="27">
        <f t="shared" si="1"/>
        <v>700</v>
      </c>
      <c r="G17" s="27">
        <f t="shared" si="1"/>
        <v>1800</v>
      </c>
      <c r="H17" s="25"/>
      <c r="I17" s="25"/>
    </row>
    <row r="18" spans="1:9" ht="12.75">
      <c r="A18" s="26">
        <v>11</v>
      </c>
      <c r="B18" s="27">
        <f t="shared" si="1"/>
        <v>66.11570247933885</v>
      </c>
      <c r="C18" s="27">
        <f t="shared" si="1"/>
        <v>132.2314049586777</v>
      </c>
      <c r="D18" s="27">
        <f t="shared" si="1"/>
        <v>247.93388429752068</v>
      </c>
      <c r="E18" s="27">
        <f t="shared" si="1"/>
        <v>264.4628099173554</v>
      </c>
      <c r="F18" s="27">
        <f t="shared" si="1"/>
        <v>578.5123966942149</v>
      </c>
      <c r="G18" s="27">
        <f t="shared" si="1"/>
        <v>1487.603305785124</v>
      </c>
      <c r="H18" s="25"/>
      <c r="I18" s="25"/>
    </row>
    <row r="19" spans="1:9" ht="12.75">
      <c r="A19" s="26">
        <v>16</v>
      </c>
      <c r="B19" s="27">
        <f t="shared" si="1"/>
        <v>31.25</v>
      </c>
      <c r="C19" s="27">
        <f t="shared" si="1"/>
        <v>62.5</v>
      </c>
      <c r="D19" s="27">
        <f t="shared" si="1"/>
        <v>117.1875</v>
      </c>
      <c r="E19" s="27">
        <f t="shared" si="1"/>
        <v>125</v>
      </c>
      <c r="F19" s="27">
        <f t="shared" si="1"/>
        <v>273.4375</v>
      </c>
      <c r="G19" s="27">
        <f t="shared" si="1"/>
        <v>703.125</v>
      </c>
      <c r="H19" s="25"/>
      <c r="I19" s="25"/>
    </row>
    <row r="20" spans="1:9" ht="12.75">
      <c r="A20" s="26">
        <v>20</v>
      </c>
      <c r="B20" s="27">
        <f t="shared" si="1"/>
        <v>20</v>
      </c>
      <c r="C20" s="27">
        <f t="shared" si="1"/>
        <v>40</v>
      </c>
      <c r="D20" s="27">
        <f t="shared" si="1"/>
        <v>75</v>
      </c>
      <c r="E20" s="27">
        <f t="shared" si="1"/>
        <v>80</v>
      </c>
      <c r="F20" s="27">
        <f t="shared" si="1"/>
        <v>175</v>
      </c>
      <c r="G20" s="27">
        <f t="shared" si="1"/>
        <v>450</v>
      </c>
      <c r="H20" s="25"/>
      <c r="I20" s="25"/>
    </row>
    <row r="21" spans="1:9" ht="12.75">
      <c r="A21" s="26">
        <v>22</v>
      </c>
      <c r="B21" s="27">
        <f t="shared" si="1"/>
        <v>16.528925619834713</v>
      </c>
      <c r="C21" s="27">
        <f t="shared" si="1"/>
        <v>33.057851239669425</v>
      </c>
      <c r="D21" s="27">
        <f t="shared" si="1"/>
        <v>61.98347107438017</v>
      </c>
      <c r="E21" s="27">
        <f t="shared" si="1"/>
        <v>66.11570247933885</v>
      </c>
      <c r="F21" s="27">
        <f t="shared" si="1"/>
        <v>144.62809917355372</v>
      </c>
      <c r="G21" s="27">
        <f t="shared" si="1"/>
        <v>371.900826446281</v>
      </c>
      <c r="H21" s="25"/>
      <c r="I21" s="25"/>
    </row>
    <row r="22" spans="1:9" ht="12.75">
      <c r="A22" s="26">
        <v>32</v>
      </c>
      <c r="B22" s="28">
        <f aca="true" t="shared" si="2" ref="B22:B35">($A22^2/B$7/$C$2)</f>
        <v>0.128</v>
      </c>
      <c r="C22" s="27">
        <f t="shared" si="1"/>
        <v>15.625</v>
      </c>
      <c r="D22" s="27">
        <f t="shared" si="1"/>
        <v>29.296875</v>
      </c>
      <c r="E22" s="27">
        <f t="shared" si="1"/>
        <v>31.25</v>
      </c>
      <c r="F22" s="27">
        <f t="shared" si="1"/>
        <v>68.359375</v>
      </c>
      <c r="G22" s="27">
        <f t="shared" si="1"/>
        <v>175.78125</v>
      </c>
      <c r="H22" s="25"/>
      <c r="I22" s="25"/>
    </row>
    <row r="23" spans="1:9" ht="12.75">
      <c r="A23" s="26">
        <v>45</v>
      </c>
      <c r="B23" s="28">
        <f t="shared" si="2"/>
        <v>0.253125</v>
      </c>
      <c r="C23" s="28">
        <f>($A23^2/C$7/$C$2)</f>
        <v>0.1265625</v>
      </c>
      <c r="D23" s="27">
        <f t="shared" si="1"/>
        <v>14.814814814814813</v>
      </c>
      <c r="E23" s="27">
        <f t="shared" si="1"/>
        <v>15.80246913580247</v>
      </c>
      <c r="F23" s="27">
        <f t="shared" si="1"/>
        <v>34.5679012345679</v>
      </c>
      <c r="G23" s="27">
        <f t="shared" si="1"/>
        <v>88.88888888888889</v>
      </c>
      <c r="H23" s="25"/>
      <c r="I23" s="25"/>
    </row>
    <row r="24" spans="1:9" ht="12.75">
      <c r="A24" s="26">
        <v>50</v>
      </c>
      <c r="B24" s="28">
        <f t="shared" si="2"/>
        <v>0.3125</v>
      </c>
      <c r="C24" s="28">
        <f aca="true" t="shared" si="3" ref="C24:E33">($A24^2/C$7/$C$2)</f>
        <v>0.15625</v>
      </c>
      <c r="D24" s="27">
        <f t="shared" si="1"/>
        <v>12</v>
      </c>
      <c r="E24" s="27">
        <f t="shared" si="1"/>
        <v>12.8</v>
      </c>
      <c r="F24" s="27">
        <f t="shared" si="1"/>
        <v>28</v>
      </c>
      <c r="G24" s="27">
        <f t="shared" si="1"/>
        <v>72</v>
      </c>
      <c r="H24" s="25"/>
      <c r="I24" s="25"/>
    </row>
    <row r="25" spans="1:9" ht="12.75">
      <c r="A25" s="26">
        <v>60</v>
      </c>
      <c r="B25" s="28">
        <f t="shared" si="2"/>
        <v>0.45</v>
      </c>
      <c r="C25" s="28">
        <f t="shared" si="3"/>
        <v>0.225</v>
      </c>
      <c r="D25" s="27">
        <f t="shared" si="1"/>
        <v>8.333333333333334</v>
      </c>
      <c r="E25" s="27">
        <f t="shared" si="1"/>
        <v>8.88888888888889</v>
      </c>
      <c r="F25" s="27">
        <f t="shared" si="1"/>
        <v>19.444444444444446</v>
      </c>
      <c r="G25" s="27">
        <f t="shared" si="1"/>
        <v>50</v>
      </c>
      <c r="H25" s="25"/>
      <c r="I25" s="25"/>
    </row>
    <row r="26" spans="1:9" ht="12.75">
      <c r="A26" s="26">
        <v>64</v>
      </c>
      <c r="B26" s="28">
        <f t="shared" si="2"/>
        <v>0.512</v>
      </c>
      <c r="C26" s="28">
        <f t="shared" si="3"/>
        <v>0.256</v>
      </c>
      <c r="D26" s="28">
        <f>($A26^2/D$7/$C$2)</f>
        <v>0.13653333333333334</v>
      </c>
      <c r="E26" s="27">
        <f t="shared" si="1"/>
        <v>7.8125</v>
      </c>
      <c r="F26" s="27">
        <f t="shared" si="1"/>
        <v>17.08984375</v>
      </c>
      <c r="G26" s="27">
        <f t="shared" si="1"/>
        <v>43.9453125</v>
      </c>
      <c r="H26" s="25"/>
      <c r="I26" s="25"/>
    </row>
    <row r="27" spans="1:9" ht="12.75">
      <c r="A27" s="26">
        <v>70</v>
      </c>
      <c r="B27" s="28">
        <f t="shared" si="2"/>
        <v>0.6125</v>
      </c>
      <c r="C27" s="28">
        <f t="shared" si="3"/>
        <v>0.30625</v>
      </c>
      <c r="D27" s="28">
        <f t="shared" si="3"/>
        <v>0.16333333333333333</v>
      </c>
      <c r="E27" s="27">
        <f t="shared" si="1"/>
        <v>6.530612244897958</v>
      </c>
      <c r="F27" s="27">
        <f t="shared" si="1"/>
        <v>14.285714285714285</v>
      </c>
      <c r="G27" s="27">
        <f t="shared" si="1"/>
        <v>36.734693877551024</v>
      </c>
      <c r="H27" s="25"/>
      <c r="I27" s="25"/>
    </row>
    <row r="28" spans="1:9" ht="12.75">
      <c r="A28" s="26">
        <v>80</v>
      </c>
      <c r="B28" s="28">
        <f t="shared" si="2"/>
        <v>0.8</v>
      </c>
      <c r="C28" s="28">
        <f t="shared" si="3"/>
        <v>0.4</v>
      </c>
      <c r="D28" s="28">
        <f t="shared" si="3"/>
        <v>0.21333333333333335</v>
      </c>
      <c r="E28" s="27">
        <f t="shared" si="1"/>
        <v>5</v>
      </c>
      <c r="F28" s="27">
        <f t="shared" si="1"/>
        <v>10.9375</v>
      </c>
      <c r="G28" s="27">
        <f t="shared" si="1"/>
        <v>28.125</v>
      </c>
      <c r="H28" s="25"/>
      <c r="I28" s="25"/>
    </row>
    <row r="29" spans="1:9" ht="12.75">
      <c r="A29" s="26">
        <v>90</v>
      </c>
      <c r="B29" s="28">
        <f t="shared" si="2"/>
        <v>1.0125</v>
      </c>
      <c r="C29" s="28">
        <f t="shared" si="3"/>
        <v>0.50625</v>
      </c>
      <c r="D29" s="28">
        <f t="shared" si="3"/>
        <v>0.27</v>
      </c>
      <c r="E29" s="27">
        <f t="shared" si="1"/>
        <v>3.9506172839506175</v>
      </c>
      <c r="F29" s="27">
        <f t="shared" si="1"/>
        <v>8.641975308641975</v>
      </c>
      <c r="G29" s="27">
        <f t="shared" si="1"/>
        <v>22.22222222222222</v>
      </c>
      <c r="H29" s="25"/>
      <c r="I29" s="25"/>
    </row>
    <row r="30" spans="1:9" ht="12.75">
      <c r="A30" s="26">
        <v>100</v>
      </c>
      <c r="B30" s="28">
        <f t="shared" si="2"/>
        <v>1.25</v>
      </c>
      <c r="C30" s="28">
        <f t="shared" si="3"/>
        <v>0.625</v>
      </c>
      <c r="D30" s="28">
        <f t="shared" si="3"/>
        <v>0.3333333333333333</v>
      </c>
      <c r="E30" s="28">
        <f>($A30^2/E$7/$C$2)</f>
        <v>0.3125</v>
      </c>
      <c r="F30" s="27">
        <f t="shared" si="1"/>
        <v>7</v>
      </c>
      <c r="G30" s="27">
        <f t="shared" si="1"/>
        <v>18</v>
      </c>
      <c r="H30" s="25"/>
      <c r="I30" s="25"/>
    </row>
    <row r="31" spans="1:9" ht="12.75">
      <c r="A31" s="26">
        <v>120</v>
      </c>
      <c r="B31" s="28">
        <f t="shared" si="2"/>
        <v>1.8</v>
      </c>
      <c r="C31" s="28">
        <f t="shared" si="3"/>
        <v>0.9</v>
      </c>
      <c r="D31" s="28">
        <f t="shared" si="3"/>
        <v>0.48</v>
      </c>
      <c r="E31" s="28">
        <f t="shared" si="3"/>
        <v>0.45</v>
      </c>
      <c r="F31" s="27">
        <f t="shared" si="1"/>
        <v>4.861111111111112</v>
      </c>
      <c r="G31" s="27">
        <f t="shared" si="1"/>
        <v>12.5</v>
      </c>
      <c r="H31" s="25"/>
      <c r="I31" s="25"/>
    </row>
    <row r="32" spans="1:9" ht="12.75">
      <c r="A32" s="26">
        <v>140</v>
      </c>
      <c r="B32" s="28">
        <f t="shared" si="2"/>
        <v>2.45</v>
      </c>
      <c r="C32" s="28">
        <f t="shared" si="3"/>
        <v>1.225</v>
      </c>
      <c r="D32" s="28">
        <f t="shared" si="3"/>
        <v>0.6533333333333333</v>
      </c>
      <c r="E32" s="28">
        <f t="shared" si="3"/>
        <v>0.6125</v>
      </c>
      <c r="F32" s="27">
        <f t="shared" si="1"/>
        <v>3.571428571428571</v>
      </c>
      <c r="G32" s="27">
        <f t="shared" si="1"/>
        <v>9.183673469387756</v>
      </c>
      <c r="H32" s="25"/>
      <c r="I32" s="25"/>
    </row>
    <row r="33" spans="1:9" ht="12.75">
      <c r="A33" s="26">
        <v>160</v>
      </c>
      <c r="B33" s="28">
        <f t="shared" si="2"/>
        <v>3.2</v>
      </c>
      <c r="C33" s="28">
        <f>($A33^2/C$7/$C$2)</f>
        <v>1.6</v>
      </c>
      <c r="D33" s="28">
        <f t="shared" si="3"/>
        <v>0.8533333333333334</v>
      </c>
      <c r="E33" s="28">
        <f aca="true" t="shared" si="4" ref="E33:F35">($A33^2/E$7/$C$2)</f>
        <v>0.8</v>
      </c>
      <c r="F33" s="28">
        <f t="shared" si="4"/>
        <v>0.3657142857142857</v>
      </c>
      <c r="G33" s="27">
        <f t="shared" si="1"/>
        <v>7.03125</v>
      </c>
      <c r="H33" s="25"/>
      <c r="I33" s="25"/>
    </row>
    <row r="34" spans="1:9" ht="12.75">
      <c r="A34" s="26">
        <v>180</v>
      </c>
      <c r="B34" s="28">
        <f t="shared" si="2"/>
        <v>4.05</v>
      </c>
      <c r="C34" s="28">
        <f>($A34^2/C$7/$C$2)</f>
        <v>2.025</v>
      </c>
      <c r="D34" s="28">
        <f>($A34^2/D$7/$C$2)</f>
        <v>1.08</v>
      </c>
      <c r="E34" s="28">
        <f t="shared" si="4"/>
        <v>1.0125</v>
      </c>
      <c r="F34" s="28">
        <f t="shared" si="4"/>
        <v>0.46285714285714286</v>
      </c>
      <c r="G34" s="27">
        <f t="shared" si="1"/>
        <v>5.555555555555555</v>
      </c>
      <c r="H34" s="25"/>
      <c r="I34" s="25"/>
    </row>
    <row r="35" spans="1:9" ht="12.75">
      <c r="A35" s="26">
        <v>200</v>
      </c>
      <c r="B35" s="28">
        <f t="shared" si="2"/>
        <v>5</v>
      </c>
      <c r="C35" s="28">
        <f>($A35^2/C$7/$C$2)</f>
        <v>2.5</v>
      </c>
      <c r="D35" s="28">
        <f>($A35^2/D$7/$C$2)</f>
        <v>1.3333333333333333</v>
      </c>
      <c r="E35" s="28">
        <f t="shared" si="4"/>
        <v>1.25</v>
      </c>
      <c r="F35" s="28">
        <f t="shared" si="4"/>
        <v>0.5714285714285714</v>
      </c>
      <c r="G35" s="27">
        <f t="shared" si="1"/>
        <v>4.5</v>
      </c>
      <c r="H35" s="25"/>
      <c r="I35" s="25"/>
    </row>
    <row r="36" spans="3:12" ht="12.75"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printOptions horizontalCentered="1" verticalCentered="1"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L4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2.28125" style="0" customWidth="1"/>
    <col min="2" max="2" width="12.00390625" style="0" customWidth="1"/>
  </cols>
  <sheetData>
    <row r="2" spans="1:6" ht="12.75">
      <c r="A2" t="s">
        <v>0</v>
      </c>
      <c r="B2" s="32">
        <f>ImgScale!D11</f>
        <v>80</v>
      </c>
      <c r="F2" t="s">
        <v>10</v>
      </c>
    </row>
    <row r="3" spans="1:2" ht="12.75">
      <c r="A3" t="s">
        <v>1</v>
      </c>
      <c r="B3" s="32">
        <f>ImgScale!F11</f>
        <v>600</v>
      </c>
    </row>
    <row r="4" spans="1:2" ht="12.75">
      <c r="A4" t="s">
        <v>2</v>
      </c>
      <c r="B4" s="3">
        <f>B3/B2</f>
        <v>7.5</v>
      </c>
    </row>
    <row r="6" spans="1:11" ht="12.75">
      <c r="A6" s="5" t="s">
        <v>7</v>
      </c>
      <c r="B6" s="6"/>
      <c r="C6" s="5" t="s">
        <v>6</v>
      </c>
      <c r="D6" s="10"/>
      <c r="E6" s="10"/>
      <c r="F6" s="10"/>
      <c r="G6" s="10"/>
      <c r="H6" s="10"/>
      <c r="I6" s="10"/>
      <c r="J6" s="10"/>
      <c r="K6" s="6"/>
    </row>
    <row r="7" spans="1:11" ht="12.75">
      <c r="A7" s="13" t="s">
        <v>8</v>
      </c>
      <c r="B7" s="7"/>
      <c r="C7" s="11" t="s">
        <v>9</v>
      </c>
      <c r="D7" s="2"/>
      <c r="E7" s="2"/>
      <c r="F7" s="2"/>
      <c r="G7" s="2"/>
      <c r="H7" s="2"/>
      <c r="I7" s="2"/>
      <c r="J7" s="2"/>
      <c r="K7" s="12"/>
    </row>
    <row r="8" spans="1:11" ht="12.75">
      <c r="A8" s="14" t="s">
        <v>4</v>
      </c>
      <c r="B8" s="14" t="s">
        <v>5</v>
      </c>
      <c r="C8" s="15">
        <v>40</v>
      </c>
      <c r="D8" s="15">
        <v>32</v>
      </c>
      <c r="E8" s="15">
        <v>26</v>
      </c>
      <c r="F8" s="15">
        <v>20</v>
      </c>
      <c r="G8" s="15">
        <v>15</v>
      </c>
      <c r="H8" s="17">
        <v>13.8</v>
      </c>
      <c r="I8" s="17">
        <v>12.4</v>
      </c>
      <c r="J8" s="17">
        <v>9.7</v>
      </c>
      <c r="K8" s="17">
        <v>6.4</v>
      </c>
    </row>
    <row r="9" spans="1:12" ht="12.75">
      <c r="A9" s="8">
        <f>B9/25.4</f>
        <v>2.1653543307086616</v>
      </c>
      <c r="B9" s="9">
        <v>55</v>
      </c>
      <c r="C9" s="8">
        <f aca="true" t="shared" si="0" ref="C9:K18">$B$3*($B9-C$8)/C$8/$B$2</f>
        <v>2.8125</v>
      </c>
      <c r="D9" s="8">
        <f t="shared" si="0"/>
        <v>5.390625</v>
      </c>
      <c r="E9" s="8">
        <f t="shared" si="0"/>
        <v>8.365384615384617</v>
      </c>
      <c r="F9" s="8">
        <f t="shared" si="0"/>
        <v>13.125</v>
      </c>
      <c r="G9" s="8">
        <f t="shared" si="0"/>
        <v>20</v>
      </c>
      <c r="H9" s="8">
        <f t="shared" si="0"/>
        <v>22.391304347826086</v>
      </c>
      <c r="I9" s="8">
        <f t="shared" si="0"/>
        <v>25.76612903225806</v>
      </c>
      <c r="J9" s="8">
        <f t="shared" si="0"/>
        <v>35.02577319587629</v>
      </c>
      <c r="K9" s="8">
        <f t="shared" si="0"/>
        <v>56.953125</v>
      </c>
      <c r="L9" s="4"/>
    </row>
    <row r="10" spans="1:12" ht="12.75">
      <c r="A10" s="8">
        <f aca="true" t="shared" si="1" ref="A10:A38">B10/25.4</f>
        <v>2.362204724409449</v>
      </c>
      <c r="B10" s="9">
        <f>B9+5</f>
        <v>60</v>
      </c>
      <c r="C10" s="8">
        <f t="shared" si="0"/>
        <v>3.75</v>
      </c>
      <c r="D10" s="8">
        <f t="shared" si="0"/>
        <v>6.5625</v>
      </c>
      <c r="E10" s="8">
        <f t="shared" si="0"/>
        <v>9.807692307692308</v>
      </c>
      <c r="F10" s="8">
        <f t="shared" si="0"/>
        <v>15</v>
      </c>
      <c r="G10" s="8">
        <f t="shared" si="0"/>
        <v>22.5</v>
      </c>
      <c r="H10" s="8">
        <f t="shared" si="0"/>
        <v>25.108695652173914</v>
      </c>
      <c r="I10" s="8">
        <f t="shared" si="0"/>
        <v>28.79032258064516</v>
      </c>
      <c r="J10" s="8">
        <f t="shared" si="0"/>
        <v>38.89175257731959</v>
      </c>
      <c r="K10" s="8">
        <f t="shared" si="0"/>
        <v>62.8125</v>
      </c>
      <c r="L10" s="4"/>
    </row>
    <row r="11" spans="1:12" ht="12.75">
      <c r="A11" s="8">
        <f t="shared" si="1"/>
        <v>2.5590551181102366</v>
      </c>
      <c r="B11" s="9">
        <f aca="true" t="shared" si="2" ref="B11:B38">B10+5</f>
        <v>65</v>
      </c>
      <c r="C11" s="8">
        <f t="shared" si="0"/>
        <v>4.6875</v>
      </c>
      <c r="D11" s="8">
        <f t="shared" si="0"/>
        <v>7.734375</v>
      </c>
      <c r="E11" s="8">
        <f t="shared" si="0"/>
        <v>11.25</v>
      </c>
      <c r="F11" s="8">
        <f t="shared" si="0"/>
        <v>16.875</v>
      </c>
      <c r="G11" s="8">
        <f t="shared" si="0"/>
        <v>25</v>
      </c>
      <c r="H11" s="8">
        <f t="shared" si="0"/>
        <v>27.82608695652174</v>
      </c>
      <c r="I11" s="8">
        <f t="shared" si="0"/>
        <v>31.814516129032256</v>
      </c>
      <c r="J11" s="8">
        <f t="shared" si="0"/>
        <v>42.75773195876289</v>
      </c>
      <c r="K11" s="8">
        <f t="shared" si="0"/>
        <v>68.671875</v>
      </c>
      <c r="L11" s="4"/>
    </row>
    <row r="12" spans="1:12" ht="12.75">
      <c r="A12" s="8">
        <f t="shared" si="1"/>
        <v>2.7559055118110236</v>
      </c>
      <c r="B12" s="9">
        <f t="shared" si="2"/>
        <v>70</v>
      </c>
      <c r="C12" s="8">
        <f t="shared" si="0"/>
        <v>5.625</v>
      </c>
      <c r="D12" s="8">
        <f t="shared" si="0"/>
        <v>8.90625</v>
      </c>
      <c r="E12" s="8">
        <f t="shared" si="0"/>
        <v>12.692307692307692</v>
      </c>
      <c r="F12" s="8">
        <f t="shared" si="0"/>
        <v>18.75</v>
      </c>
      <c r="G12" s="8">
        <f t="shared" si="0"/>
        <v>27.5</v>
      </c>
      <c r="H12" s="8">
        <f t="shared" si="0"/>
        <v>30.543478260869563</v>
      </c>
      <c r="I12" s="8">
        <f t="shared" si="0"/>
        <v>34.83870967741935</v>
      </c>
      <c r="J12" s="8">
        <f t="shared" si="0"/>
        <v>46.623711340206185</v>
      </c>
      <c r="K12" s="8">
        <f t="shared" si="0"/>
        <v>74.53125</v>
      </c>
      <c r="L12" s="4"/>
    </row>
    <row r="13" spans="1:12" ht="12.75">
      <c r="A13" s="8">
        <f t="shared" si="1"/>
        <v>2.952755905511811</v>
      </c>
      <c r="B13" s="9">
        <f t="shared" si="2"/>
        <v>75</v>
      </c>
      <c r="C13" s="8">
        <f t="shared" si="0"/>
        <v>6.5625</v>
      </c>
      <c r="D13" s="8">
        <f t="shared" si="0"/>
        <v>10.078125</v>
      </c>
      <c r="E13" s="8">
        <f t="shared" si="0"/>
        <v>14.134615384615383</v>
      </c>
      <c r="F13" s="8">
        <f t="shared" si="0"/>
        <v>20.625</v>
      </c>
      <c r="G13" s="8">
        <f t="shared" si="0"/>
        <v>30</v>
      </c>
      <c r="H13" s="8">
        <f t="shared" si="0"/>
        <v>33.26086956521739</v>
      </c>
      <c r="I13" s="8">
        <f t="shared" si="0"/>
        <v>37.86290322580645</v>
      </c>
      <c r="J13" s="8">
        <f t="shared" si="0"/>
        <v>50.48969072164949</v>
      </c>
      <c r="K13" s="8">
        <f t="shared" si="0"/>
        <v>80.390625</v>
      </c>
      <c r="L13" s="4"/>
    </row>
    <row r="14" spans="1:12" ht="12.75">
      <c r="A14" s="8">
        <f t="shared" si="1"/>
        <v>3.1496062992125986</v>
      </c>
      <c r="B14" s="9">
        <f t="shared" si="2"/>
        <v>80</v>
      </c>
      <c r="C14" s="8">
        <f t="shared" si="0"/>
        <v>7.5</v>
      </c>
      <c r="D14" s="8">
        <f t="shared" si="0"/>
        <v>11.25</v>
      </c>
      <c r="E14" s="8">
        <f t="shared" si="0"/>
        <v>15.576923076923077</v>
      </c>
      <c r="F14" s="8">
        <f t="shared" si="0"/>
        <v>22.5</v>
      </c>
      <c r="G14" s="8">
        <f t="shared" si="0"/>
        <v>32.5</v>
      </c>
      <c r="H14" s="8">
        <f t="shared" si="0"/>
        <v>35.97826086956521</v>
      </c>
      <c r="I14" s="8">
        <f t="shared" si="0"/>
        <v>40.88709677419355</v>
      </c>
      <c r="J14" s="8">
        <f t="shared" si="0"/>
        <v>54.35567010309279</v>
      </c>
      <c r="K14" s="8">
        <f t="shared" si="0"/>
        <v>86.25</v>
      </c>
      <c r="L14" s="4"/>
    </row>
    <row r="15" spans="1:12" ht="12.75">
      <c r="A15" s="8">
        <f t="shared" si="1"/>
        <v>3.346456692913386</v>
      </c>
      <c r="B15" s="9">
        <f t="shared" si="2"/>
        <v>85</v>
      </c>
      <c r="C15" s="8">
        <f t="shared" si="0"/>
        <v>8.4375</v>
      </c>
      <c r="D15" s="8">
        <f t="shared" si="0"/>
        <v>12.421875</v>
      </c>
      <c r="E15" s="8">
        <f t="shared" si="0"/>
        <v>17.019230769230766</v>
      </c>
      <c r="F15" s="8">
        <f t="shared" si="0"/>
        <v>24.375</v>
      </c>
      <c r="G15" s="8">
        <f t="shared" si="0"/>
        <v>35</v>
      </c>
      <c r="H15" s="8">
        <f t="shared" si="0"/>
        <v>38.69565217391305</v>
      </c>
      <c r="I15" s="8">
        <f t="shared" si="0"/>
        <v>43.91129032258065</v>
      </c>
      <c r="J15" s="8">
        <f t="shared" si="0"/>
        <v>58.22164948453609</v>
      </c>
      <c r="K15" s="8">
        <f t="shared" si="0"/>
        <v>92.109375</v>
      </c>
      <c r="L15" s="4"/>
    </row>
    <row r="16" spans="1:12" ht="12.75">
      <c r="A16" s="8">
        <f t="shared" si="1"/>
        <v>3.5433070866141736</v>
      </c>
      <c r="B16" s="9">
        <f t="shared" si="2"/>
        <v>90</v>
      </c>
      <c r="C16" s="8">
        <f t="shared" si="0"/>
        <v>9.375</v>
      </c>
      <c r="D16" s="8">
        <f t="shared" si="0"/>
        <v>13.59375</v>
      </c>
      <c r="E16" s="8">
        <f t="shared" si="0"/>
        <v>18.46153846153846</v>
      </c>
      <c r="F16" s="8">
        <f t="shared" si="0"/>
        <v>26.25</v>
      </c>
      <c r="G16" s="8">
        <f t="shared" si="0"/>
        <v>37.5</v>
      </c>
      <c r="H16" s="8">
        <f t="shared" si="0"/>
        <v>41.41304347826087</v>
      </c>
      <c r="I16" s="8">
        <f t="shared" si="0"/>
        <v>46.93548387096774</v>
      </c>
      <c r="J16" s="8">
        <f t="shared" si="0"/>
        <v>62.08762886597939</v>
      </c>
      <c r="K16" s="8">
        <f t="shared" si="0"/>
        <v>97.96875</v>
      </c>
      <c r="L16" s="4"/>
    </row>
    <row r="17" spans="1:12" ht="12.75">
      <c r="A17" s="8">
        <f t="shared" si="1"/>
        <v>3.7401574803149606</v>
      </c>
      <c r="B17" s="9">
        <f t="shared" si="2"/>
        <v>95</v>
      </c>
      <c r="C17" s="8">
        <f t="shared" si="0"/>
        <v>10.3125</v>
      </c>
      <c r="D17" s="8">
        <f t="shared" si="0"/>
        <v>14.765625</v>
      </c>
      <c r="E17" s="8">
        <f t="shared" si="0"/>
        <v>19.903846153846153</v>
      </c>
      <c r="F17" s="8">
        <f t="shared" si="0"/>
        <v>28.125</v>
      </c>
      <c r="G17" s="8">
        <f t="shared" si="0"/>
        <v>40</v>
      </c>
      <c r="H17" s="8">
        <f t="shared" si="0"/>
        <v>44.130434782608695</v>
      </c>
      <c r="I17" s="8">
        <f t="shared" si="0"/>
        <v>49.95967741935483</v>
      </c>
      <c r="J17" s="8">
        <f t="shared" si="0"/>
        <v>65.9536082474227</v>
      </c>
      <c r="K17" s="8">
        <f t="shared" si="0"/>
        <v>103.828125</v>
      </c>
      <c r="L17" s="4"/>
    </row>
    <row r="18" spans="1:12" ht="12.75">
      <c r="A18" s="8">
        <f t="shared" si="1"/>
        <v>3.937007874015748</v>
      </c>
      <c r="B18" s="9">
        <f t="shared" si="2"/>
        <v>100</v>
      </c>
      <c r="C18" s="8">
        <f t="shared" si="0"/>
        <v>11.25</v>
      </c>
      <c r="D18" s="8">
        <f t="shared" si="0"/>
        <v>15.9375</v>
      </c>
      <c r="E18" s="8">
        <f t="shared" si="0"/>
        <v>21.346153846153847</v>
      </c>
      <c r="F18" s="8">
        <f t="shared" si="0"/>
        <v>30</v>
      </c>
      <c r="G18" s="8">
        <f t="shared" si="0"/>
        <v>42.5</v>
      </c>
      <c r="H18" s="8">
        <f t="shared" si="0"/>
        <v>46.847826086956516</v>
      </c>
      <c r="I18" s="8">
        <f t="shared" si="0"/>
        <v>52.983870967741936</v>
      </c>
      <c r="J18" s="8">
        <f t="shared" si="0"/>
        <v>69.81958762886599</v>
      </c>
      <c r="K18" s="8">
        <f t="shared" si="0"/>
        <v>109.6875</v>
      </c>
      <c r="L18" s="4"/>
    </row>
    <row r="19" spans="1:12" ht="12.75">
      <c r="A19" s="8">
        <f t="shared" si="1"/>
        <v>4.133858267716536</v>
      </c>
      <c r="B19" s="9">
        <f t="shared" si="2"/>
        <v>105</v>
      </c>
      <c r="C19" s="8">
        <f aca="true" t="shared" si="3" ref="C19:K28">$B$3*($B19-C$8)/C$8/$B$2</f>
        <v>12.1875</v>
      </c>
      <c r="D19" s="8">
        <f t="shared" si="3"/>
        <v>17.109375</v>
      </c>
      <c r="E19" s="8">
        <f t="shared" si="3"/>
        <v>22.78846153846154</v>
      </c>
      <c r="F19" s="8">
        <f t="shared" si="3"/>
        <v>31.875</v>
      </c>
      <c r="G19" s="8">
        <f t="shared" si="3"/>
        <v>45</v>
      </c>
      <c r="H19" s="8">
        <f t="shared" si="3"/>
        <v>49.565217391304344</v>
      </c>
      <c r="I19" s="8">
        <f t="shared" si="3"/>
        <v>56.00806451612904</v>
      </c>
      <c r="J19" s="8">
        <f t="shared" si="3"/>
        <v>73.68556701030928</v>
      </c>
      <c r="K19" s="8">
        <f t="shared" si="3"/>
        <v>115.546875</v>
      </c>
      <c r="L19" s="4"/>
    </row>
    <row r="20" spans="1:12" ht="12.75">
      <c r="A20" s="8">
        <f t="shared" si="1"/>
        <v>4.330708661417323</v>
      </c>
      <c r="B20" s="9">
        <f t="shared" si="2"/>
        <v>110</v>
      </c>
      <c r="C20" s="8">
        <f t="shared" si="3"/>
        <v>13.125</v>
      </c>
      <c r="D20" s="8">
        <f t="shared" si="3"/>
        <v>18.28125</v>
      </c>
      <c r="E20" s="8">
        <f t="shared" si="3"/>
        <v>24.230769230769234</v>
      </c>
      <c r="F20" s="8">
        <f t="shared" si="3"/>
        <v>33.75</v>
      </c>
      <c r="G20" s="8">
        <f t="shared" si="3"/>
        <v>47.5</v>
      </c>
      <c r="H20" s="8">
        <f t="shared" si="3"/>
        <v>52.28260869565217</v>
      </c>
      <c r="I20" s="8">
        <f t="shared" si="3"/>
        <v>59.03225806451612</v>
      </c>
      <c r="J20" s="8">
        <f t="shared" si="3"/>
        <v>77.55154639175258</v>
      </c>
      <c r="K20" s="8">
        <f t="shared" si="3"/>
        <v>121.40625</v>
      </c>
      <c r="L20" s="4"/>
    </row>
    <row r="21" spans="1:12" ht="12.75">
      <c r="A21" s="8">
        <f t="shared" si="1"/>
        <v>4.52755905511811</v>
      </c>
      <c r="B21" s="9">
        <f t="shared" si="2"/>
        <v>115</v>
      </c>
      <c r="C21" s="8">
        <f t="shared" si="3"/>
        <v>14.0625</v>
      </c>
      <c r="D21" s="8">
        <f t="shared" si="3"/>
        <v>19.453125</v>
      </c>
      <c r="E21" s="8">
        <f t="shared" si="3"/>
        <v>25.673076923076923</v>
      </c>
      <c r="F21" s="8">
        <f t="shared" si="3"/>
        <v>35.625</v>
      </c>
      <c r="G21" s="8">
        <f t="shared" si="3"/>
        <v>50</v>
      </c>
      <c r="H21" s="8">
        <f t="shared" si="3"/>
        <v>55</v>
      </c>
      <c r="I21" s="8">
        <f t="shared" si="3"/>
        <v>62.05645161290322</v>
      </c>
      <c r="J21" s="8">
        <f t="shared" si="3"/>
        <v>81.41752577319588</v>
      </c>
      <c r="K21" s="8">
        <f t="shared" si="3"/>
        <v>127.265625</v>
      </c>
      <c r="L21" s="4"/>
    </row>
    <row r="22" spans="1:12" ht="12.75">
      <c r="A22" s="8">
        <f t="shared" si="1"/>
        <v>4.724409448818898</v>
      </c>
      <c r="B22" s="9">
        <f t="shared" si="2"/>
        <v>120</v>
      </c>
      <c r="C22" s="8">
        <f t="shared" si="3"/>
        <v>15</v>
      </c>
      <c r="D22" s="8">
        <f t="shared" si="3"/>
        <v>20.625</v>
      </c>
      <c r="E22" s="8">
        <f t="shared" si="3"/>
        <v>27.115384615384613</v>
      </c>
      <c r="F22" s="8">
        <f t="shared" si="3"/>
        <v>37.5</v>
      </c>
      <c r="G22" s="8">
        <f t="shared" si="3"/>
        <v>52.5</v>
      </c>
      <c r="H22" s="8">
        <f t="shared" si="3"/>
        <v>57.71739130434783</v>
      </c>
      <c r="I22" s="8">
        <f t="shared" si="3"/>
        <v>65.08064516129032</v>
      </c>
      <c r="J22" s="8">
        <f t="shared" si="3"/>
        <v>85.28350515463919</v>
      </c>
      <c r="K22" s="8">
        <f t="shared" si="3"/>
        <v>133.125</v>
      </c>
      <c r="L22" s="4"/>
    </row>
    <row r="23" spans="1:12" ht="12.75">
      <c r="A23" s="8">
        <f t="shared" si="1"/>
        <v>4.921259842519685</v>
      </c>
      <c r="B23" s="9">
        <f t="shared" si="2"/>
        <v>125</v>
      </c>
      <c r="C23" s="8">
        <f t="shared" si="3"/>
        <v>15.9375</v>
      </c>
      <c r="D23" s="8">
        <f t="shared" si="3"/>
        <v>21.796875</v>
      </c>
      <c r="E23" s="8">
        <f t="shared" si="3"/>
        <v>28.55769230769231</v>
      </c>
      <c r="F23" s="8">
        <f t="shared" si="3"/>
        <v>39.375</v>
      </c>
      <c r="G23" s="8">
        <f t="shared" si="3"/>
        <v>55</v>
      </c>
      <c r="H23" s="8">
        <f t="shared" si="3"/>
        <v>60.43478260869565</v>
      </c>
      <c r="I23" s="8">
        <f t="shared" si="3"/>
        <v>68.10483870967741</v>
      </c>
      <c r="J23" s="8">
        <f t="shared" si="3"/>
        <v>89.14948453608248</v>
      </c>
      <c r="K23" s="8">
        <f t="shared" si="3"/>
        <v>138.984375</v>
      </c>
      <c r="L23" s="4"/>
    </row>
    <row r="24" spans="1:12" ht="12.75">
      <c r="A24" s="8">
        <f t="shared" si="1"/>
        <v>5.118110236220473</v>
      </c>
      <c r="B24" s="9">
        <f t="shared" si="2"/>
        <v>130</v>
      </c>
      <c r="C24" s="8">
        <f t="shared" si="3"/>
        <v>16.875</v>
      </c>
      <c r="D24" s="8">
        <f t="shared" si="3"/>
        <v>22.96875</v>
      </c>
      <c r="E24" s="8">
        <f t="shared" si="3"/>
        <v>30</v>
      </c>
      <c r="F24" s="8">
        <f t="shared" si="3"/>
        <v>41.25</v>
      </c>
      <c r="G24" s="8">
        <f t="shared" si="3"/>
        <v>57.5</v>
      </c>
      <c r="H24" s="8">
        <f t="shared" si="3"/>
        <v>63.15217391304348</v>
      </c>
      <c r="I24" s="8">
        <f t="shared" si="3"/>
        <v>71.12903225806451</v>
      </c>
      <c r="J24" s="8">
        <f t="shared" si="3"/>
        <v>93.01546391752578</v>
      </c>
      <c r="K24" s="8">
        <f t="shared" si="3"/>
        <v>144.84375</v>
      </c>
      <c r="L24" s="4"/>
    </row>
    <row r="25" spans="1:12" ht="12.75">
      <c r="A25" s="8">
        <f t="shared" si="1"/>
        <v>5.31496062992126</v>
      </c>
      <c r="B25" s="9">
        <f t="shared" si="2"/>
        <v>135</v>
      </c>
      <c r="C25" s="8">
        <f t="shared" si="3"/>
        <v>17.8125</v>
      </c>
      <c r="D25" s="8">
        <f t="shared" si="3"/>
        <v>24.140625</v>
      </c>
      <c r="E25" s="8">
        <f t="shared" si="3"/>
        <v>31.44230769230769</v>
      </c>
      <c r="F25" s="8">
        <f t="shared" si="3"/>
        <v>43.125</v>
      </c>
      <c r="G25" s="8">
        <f t="shared" si="3"/>
        <v>60</v>
      </c>
      <c r="H25" s="8">
        <f t="shared" si="3"/>
        <v>65.8695652173913</v>
      </c>
      <c r="I25" s="8">
        <f t="shared" si="3"/>
        <v>74.15322580645162</v>
      </c>
      <c r="J25" s="8">
        <f t="shared" si="3"/>
        <v>96.88144329896907</v>
      </c>
      <c r="K25" s="8">
        <f t="shared" si="3"/>
        <v>150.703125</v>
      </c>
      <c r="L25" s="4"/>
    </row>
    <row r="26" spans="1:12" ht="12.75">
      <c r="A26" s="8">
        <f t="shared" si="1"/>
        <v>5.511811023622047</v>
      </c>
      <c r="B26" s="9">
        <f t="shared" si="2"/>
        <v>140</v>
      </c>
      <c r="C26" s="8">
        <f t="shared" si="3"/>
        <v>18.75</v>
      </c>
      <c r="D26" s="8">
        <f t="shared" si="3"/>
        <v>25.3125</v>
      </c>
      <c r="E26" s="8">
        <f t="shared" si="3"/>
        <v>32.88461538461539</v>
      </c>
      <c r="F26" s="8">
        <f t="shared" si="3"/>
        <v>45</v>
      </c>
      <c r="G26" s="8">
        <f t="shared" si="3"/>
        <v>62.5</v>
      </c>
      <c r="H26" s="8">
        <f t="shared" si="3"/>
        <v>68.58695652173913</v>
      </c>
      <c r="I26" s="8">
        <f t="shared" si="3"/>
        <v>77.1774193548387</v>
      </c>
      <c r="J26" s="8">
        <f t="shared" si="3"/>
        <v>100.74742268041237</v>
      </c>
      <c r="K26" s="8">
        <f t="shared" si="3"/>
        <v>156.5625</v>
      </c>
      <c r="L26" s="4"/>
    </row>
    <row r="27" spans="1:12" ht="12.75">
      <c r="A27" s="8">
        <f t="shared" si="1"/>
        <v>5.708661417322835</v>
      </c>
      <c r="B27" s="9">
        <f t="shared" si="2"/>
        <v>145</v>
      </c>
      <c r="C27" s="8">
        <f t="shared" si="3"/>
        <v>19.6875</v>
      </c>
      <c r="D27" s="8">
        <f t="shared" si="3"/>
        <v>26.484375</v>
      </c>
      <c r="E27" s="8">
        <f t="shared" si="3"/>
        <v>34.32692307692308</v>
      </c>
      <c r="F27" s="8">
        <f t="shared" si="3"/>
        <v>46.875</v>
      </c>
      <c r="G27" s="8">
        <f t="shared" si="3"/>
        <v>65</v>
      </c>
      <c r="H27" s="8">
        <f t="shared" si="3"/>
        <v>71.30434782608695</v>
      </c>
      <c r="I27" s="8">
        <f t="shared" si="3"/>
        <v>80.20161290322581</v>
      </c>
      <c r="J27" s="8">
        <f t="shared" si="3"/>
        <v>104.61340206185568</v>
      </c>
      <c r="K27" s="8">
        <f t="shared" si="3"/>
        <v>162.421875</v>
      </c>
      <c r="L27" s="4"/>
    </row>
    <row r="28" spans="1:12" ht="12.75">
      <c r="A28" s="8">
        <f t="shared" si="1"/>
        <v>5.905511811023622</v>
      </c>
      <c r="B28" s="9">
        <f t="shared" si="2"/>
        <v>150</v>
      </c>
      <c r="C28" s="8">
        <f t="shared" si="3"/>
        <v>20.625</v>
      </c>
      <c r="D28" s="8">
        <f t="shared" si="3"/>
        <v>27.65625</v>
      </c>
      <c r="E28" s="8">
        <f t="shared" si="3"/>
        <v>35.76923076923077</v>
      </c>
      <c r="F28" s="8">
        <f t="shared" si="3"/>
        <v>48.75</v>
      </c>
      <c r="G28" s="8">
        <f t="shared" si="3"/>
        <v>67.5</v>
      </c>
      <c r="H28" s="8">
        <f t="shared" si="3"/>
        <v>74.02173913043478</v>
      </c>
      <c r="I28" s="8">
        <f t="shared" si="3"/>
        <v>83.2258064516129</v>
      </c>
      <c r="J28" s="8">
        <f t="shared" si="3"/>
        <v>108.47938144329899</v>
      </c>
      <c r="K28" s="8">
        <f t="shared" si="3"/>
        <v>168.28125</v>
      </c>
      <c r="L28" s="4"/>
    </row>
    <row r="29" spans="1:12" ht="12.75">
      <c r="A29" s="8">
        <f t="shared" si="1"/>
        <v>6.10236220472441</v>
      </c>
      <c r="B29" s="9">
        <f t="shared" si="2"/>
        <v>155</v>
      </c>
      <c r="C29" s="8">
        <f aca="true" t="shared" si="4" ref="C29:K38">$B$3*($B29-C$8)/C$8/$B$2</f>
        <v>21.5625</v>
      </c>
      <c r="D29" s="8">
        <f t="shared" si="4"/>
        <v>28.828125</v>
      </c>
      <c r="E29" s="8">
        <f t="shared" si="4"/>
        <v>37.21153846153847</v>
      </c>
      <c r="F29" s="8">
        <f t="shared" si="4"/>
        <v>50.625</v>
      </c>
      <c r="G29" s="8">
        <f t="shared" si="4"/>
        <v>70</v>
      </c>
      <c r="H29" s="8">
        <f t="shared" si="4"/>
        <v>76.7391304347826</v>
      </c>
      <c r="I29" s="8">
        <f t="shared" si="4"/>
        <v>86.25</v>
      </c>
      <c r="J29" s="8">
        <f t="shared" si="4"/>
        <v>112.34536082474229</v>
      </c>
      <c r="K29" s="8">
        <f t="shared" si="4"/>
        <v>174.140625</v>
      </c>
      <c r="L29" s="4"/>
    </row>
    <row r="30" spans="1:12" ht="12.75">
      <c r="A30" s="8">
        <f t="shared" si="1"/>
        <v>6.299212598425197</v>
      </c>
      <c r="B30" s="9">
        <f t="shared" si="2"/>
        <v>160</v>
      </c>
      <c r="C30" s="8">
        <f t="shared" si="4"/>
        <v>22.5</v>
      </c>
      <c r="D30" s="8">
        <f t="shared" si="4"/>
        <v>30</v>
      </c>
      <c r="E30" s="8">
        <f t="shared" si="4"/>
        <v>38.65384615384615</v>
      </c>
      <c r="F30" s="8">
        <f t="shared" si="4"/>
        <v>52.5</v>
      </c>
      <c r="G30" s="8">
        <f t="shared" si="4"/>
        <v>72.5</v>
      </c>
      <c r="H30" s="8">
        <f t="shared" si="4"/>
        <v>79.45652173913042</v>
      </c>
      <c r="I30" s="8">
        <f t="shared" si="4"/>
        <v>89.2741935483871</v>
      </c>
      <c r="J30" s="8">
        <f t="shared" si="4"/>
        <v>116.21134020618558</v>
      </c>
      <c r="K30" s="8">
        <f t="shared" si="4"/>
        <v>180</v>
      </c>
      <c r="L30" s="4"/>
    </row>
    <row r="31" spans="1:12" ht="12.75">
      <c r="A31" s="8">
        <f t="shared" si="1"/>
        <v>6.496062992125984</v>
      </c>
      <c r="B31" s="9">
        <f t="shared" si="2"/>
        <v>165</v>
      </c>
      <c r="C31" s="8">
        <f t="shared" si="4"/>
        <v>23.4375</v>
      </c>
      <c r="D31" s="8">
        <f t="shared" si="4"/>
        <v>31.171875</v>
      </c>
      <c r="E31" s="8">
        <f t="shared" si="4"/>
        <v>40.09615384615385</v>
      </c>
      <c r="F31" s="8">
        <f t="shared" si="4"/>
        <v>54.375</v>
      </c>
      <c r="G31" s="8">
        <f t="shared" si="4"/>
        <v>75</v>
      </c>
      <c r="H31" s="8">
        <f t="shared" si="4"/>
        <v>82.17391304347825</v>
      </c>
      <c r="I31" s="8">
        <f t="shared" si="4"/>
        <v>92.29838709677419</v>
      </c>
      <c r="J31" s="8">
        <f t="shared" si="4"/>
        <v>120.07731958762888</v>
      </c>
      <c r="K31" s="8">
        <f t="shared" si="4"/>
        <v>185.859375</v>
      </c>
      <c r="L31" s="4"/>
    </row>
    <row r="32" spans="1:12" ht="12.75">
      <c r="A32" s="8">
        <f t="shared" si="1"/>
        <v>6.692913385826772</v>
      </c>
      <c r="B32" s="9">
        <f t="shared" si="2"/>
        <v>170</v>
      </c>
      <c r="C32" s="8">
        <f t="shared" si="4"/>
        <v>24.375</v>
      </c>
      <c r="D32" s="8">
        <f t="shared" si="4"/>
        <v>32.34375</v>
      </c>
      <c r="E32" s="8">
        <f t="shared" si="4"/>
        <v>41.53846153846153</v>
      </c>
      <c r="F32" s="8">
        <f t="shared" si="4"/>
        <v>56.25</v>
      </c>
      <c r="G32" s="8">
        <f t="shared" si="4"/>
        <v>77.5</v>
      </c>
      <c r="H32" s="8">
        <f t="shared" si="4"/>
        <v>84.8913043478261</v>
      </c>
      <c r="I32" s="8">
        <f t="shared" si="4"/>
        <v>95.3225806451613</v>
      </c>
      <c r="J32" s="8">
        <f t="shared" si="4"/>
        <v>123.94329896907217</v>
      </c>
      <c r="K32" s="8">
        <f t="shared" si="4"/>
        <v>191.71875</v>
      </c>
      <c r="L32" s="4"/>
    </row>
    <row r="33" spans="1:12" ht="12.75">
      <c r="A33" s="8">
        <f t="shared" si="1"/>
        <v>6.889763779527559</v>
      </c>
      <c r="B33" s="9">
        <f t="shared" si="2"/>
        <v>175</v>
      </c>
      <c r="C33" s="8">
        <f t="shared" si="4"/>
        <v>25.3125</v>
      </c>
      <c r="D33" s="8">
        <f t="shared" si="4"/>
        <v>33.515625</v>
      </c>
      <c r="E33" s="8">
        <f t="shared" si="4"/>
        <v>42.98076923076923</v>
      </c>
      <c r="F33" s="8">
        <f t="shared" si="4"/>
        <v>58.125</v>
      </c>
      <c r="G33" s="8">
        <f t="shared" si="4"/>
        <v>80</v>
      </c>
      <c r="H33" s="8">
        <f t="shared" si="4"/>
        <v>87.6086956521739</v>
      </c>
      <c r="I33" s="8">
        <f t="shared" si="4"/>
        <v>98.34677419354838</v>
      </c>
      <c r="J33" s="8">
        <f t="shared" si="4"/>
        <v>127.80927835051548</v>
      </c>
      <c r="K33" s="8">
        <f t="shared" si="4"/>
        <v>197.578125</v>
      </c>
      <c r="L33" s="4"/>
    </row>
    <row r="34" spans="1:12" ht="12.75">
      <c r="A34" s="8">
        <f t="shared" si="1"/>
        <v>7.086614173228347</v>
      </c>
      <c r="B34" s="9">
        <f t="shared" si="2"/>
        <v>180</v>
      </c>
      <c r="C34" s="8">
        <f t="shared" si="4"/>
        <v>26.25</v>
      </c>
      <c r="D34" s="8">
        <f t="shared" si="4"/>
        <v>34.6875</v>
      </c>
      <c r="E34" s="8">
        <f t="shared" si="4"/>
        <v>44.42307692307692</v>
      </c>
      <c r="F34" s="8">
        <f t="shared" si="4"/>
        <v>60</v>
      </c>
      <c r="G34" s="8">
        <f t="shared" si="4"/>
        <v>82.5</v>
      </c>
      <c r="H34" s="8">
        <f t="shared" si="4"/>
        <v>90.32608695652173</v>
      </c>
      <c r="I34" s="8">
        <f t="shared" si="4"/>
        <v>101.37096774193547</v>
      </c>
      <c r="J34" s="8">
        <f t="shared" si="4"/>
        <v>131.67525773195877</v>
      </c>
      <c r="K34" s="8">
        <f t="shared" si="4"/>
        <v>203.4375</v>
      </c>
      <c r="L34" s="4"/>
    </row>
    <row r="35" spans="1:12" ht="12.75">
      <c r="A35" s="8">
        <f t="shared" si="1"/>
        <v>7.283464566929134</v>
      </c>
      <c r="B35" s="9">
        <f t="shared" si="2"/>
        <v>185</v>
      </c>
      <c r="C35" s="8">
        <f t="shared" si="4"/>
        <v>27.1875</v>
      </c>
      <c r="D35" s="8">
        <f t="shared" si="4"/>
        <v>35.859375</v>
      </c>
      <c r="E35" s="8">
        <f t="shared" si="4"/>
        <v>45.86538461538461</v>
      </c>
      <c r="F35" s="8">
        <f t="shared" si="4"/>
        <v>61.875</v>
      </c>
      <c r="G35" s="8">
        <f t="shared" si="4"/>
        <v>85</v>
      </c>
      <c r="H35" s="8">
        <f t="shared" si="4"/>
        <v>93.04347826086956</v>
      </c>
      <c r="I35" s="8">
        <f t="shared" si="4"/>
        <v>104.39516129032259</v>
      </c>
      <c r="J35" s="8">
        <f t="shared" si="4"/>
        <v>135.54123711340208</v>
      </c>
      <c r="K35" s="8">
        <f t="shared" si="4"/>
        <v>209.296875</v>
      </c>
      <c r="L35" s="4"/>
    </row>
    <row r="36" spans="1:12" ht="12.75">
      <c r="A36" s="8">
        <f t="shared" si="1"/>
        <v>7.480314960629921</v>
      </c>
      <c r="B36" s="9">
        <f t="shared" si="2"/>
        <v>190</v>
      </c>
      <c r="C36" s="8">
        <f t="shared" si="4"/>
        <v>28.125</v>
      </c>
      <c r="D36" s="8">
        <f t="shared" si="4"/>
        <v>37.03125</v>
      </c>
      <c r="E36" s="8">
        <f t="shared" si="4"/>
        <v>47.30769230769231</v>
      </c>
      <c r="F36" s="8">
        <f t="shared" si="4"/>
        <v>63.75</v>
      </c>
      <c r="G36" s="8">
        <f t="shared" si="4"/>
        <v>87.5</v>
      </c>
      <c r="H36" s="8">
        <f t="shared" si="4"/>
        <v>95.76086956521739</v>
      </c>
      <c r="I36" s="8">
        <f t="shared" si="4"/>
        <v>107.41935483870968</v>
      </c>
      <c r="J36" s="8">
        <f t="shared" si="4"/>
        <v>139.4072164948454</v>
      </c>
      <c r="K36" s="8">
        <f t="shared" si="4"/>
        <v>215.15625</v>
      </c>
      <c r="L36" s="4"/>
    </row>
    <row r="37" spans="1:12" ht="12.75">
      <c r="A37" s="8">
        <f t="shared" si="1"/>
        <v>7.677165354330709</v>
      </c>
      <c r="B37" s="9">
        <f t="shared" si="2"/>
        <v>195</v>
      </c>
      <c r="C37" s="8">
        <f t="shared" si="4"/>
        <v>29.0625</v>
      </c>
      <c r="D37" s="8">
        <f t="shared" si="4"/>
        <v>38.203125</v>
      </c>
      <c r="E37" s="8">
        <f t="shared" si="4"/>
        <v>48.75</v>
      </c>
      <c r="F37" s="8">
        <f t="shared" si="4"/>
        <v>65.625</v>
      </c>
      <c r="G37" s="8">
        <f t="shared" si="4"/>
        <v>90</v>
      </c>
      <c r="H37" s="8">
        <f t="shared" si="4"/>
        <v>98.47826086956522</v>
      </c>
      <c r="I37" s="8">
        <f t="shared" si="4"/>
        <v>110.44354838709678</v>
      </c>
      <c r="J37" s="8">
        <f t="shared" si="4"/>
        <v>143.27319587628867</v>
      </c>
      <c r="K37" s="8">
        <f t="shared" si="4"/>
        <v>221.015625</v>
      </c>
      <c r="L37" s="4"/>
    </row>
    <row r="38" spans="1:12" ht="12.75">
      <c r="A38" s="8">
        <f t="shared" si="1"/>
        <v>7.874015748031496</v>
      </c>
      <c r="B38" s="9">
        <f t="shared" si="2"/>
        <v>200</v>
      </c>
      <c r="C38" s="8">
        <f t="shared" si="4"/>
        <v>30</v>
      </c>
      <c r="D38" s="8">
        <f t="shared" si="4"/>
        <v>39.375</v>
      </c>
      <c r="E38" s="8">
        <f t="shared" si="4"/>
        <v>50.19230769230769</v>
      </c>
      <c r="F38" s="8">
        <f t="shared" si="4"/>
        <v>67.5</v>
      </c>
      <c r="G38" s="8">
        <f t="shared" si="4"/>
        <v>92.5</v>
      </c>
      <c r="H38" s="8">
        <f t="shared" si="4"/>
        <v>101.19565217391303</v>
      </c>
      <c r="I38" s="8">
        <f t="shared" si="4"/>
        <v>113.46774193548387</v>
      </c>
      <c r="J38" s="8">
        <f t="shared" si="4"/>
        <v>147.13917525773198</v>
      </c>
      <c r="K38" s="8">
        <f t="shared" si="4"/>
        <v>226.875</v>
      </c>
      <c r="L38" s="4"/>
    </row>
    <row r="39" spans="3:12" ht="12.7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2.7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2.7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2.7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2.7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2.75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2.7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2.7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2.75"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printOptions horizontalCentered="1" verticalCentered="1"/>
  <pageMargins left="0.75" right="0.7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2:L4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2.28125" style="0" customWidth="1"/>
    <col min="2" max="2" width="12.00390625" style="0" customWidth="1"/>
  </cols>
  <sheetData>
    <row r="2" spans="1:6" ht="12.75">
      <c r="A2" t="s">
        <v>0</v>
      </c>
      <c r="B2" s="32">
        <f>ImgScale!D11</f>
        <v>80</v>
      </c>
      <c r="F2" t="s">
        <v>10</v>
      </c>
    </row>
    <row r="3" spans="1:2" ht="12.75">
      <c r="A3" t="s">
        <v>1</v>
      </c>
      <c r="B3" s="32">
        <f>ImgScale!F11</f>
        <v>600</v>
      </c>
    </row>
    <row r="4" spans="1:2" ht="12.75">
      <c r="A4" t="s">
        <v>2</v>
      </c>
      <c r="B4" s="3">
        <f>B3/B2</f>
        <v>7.5</v>
      </c>
    </row>
    <row r="6" spans="1:11" ht="12.75">
      <c r="A6" s="5" t="s">
        <v>7</v>
      </c>
      <c r="B6" s="6"/>
      <c r="C6" s="5" t="s">
        <v>11</v>
      </c>
      <c r="D6" s="10"/>
      <c r="E6" s="10"/>
      <c r="F6" s="10"/>
      <c r="G6" s="10"/>
      <c r="H6" s="10"/>
      <c r="I6" s="10"/>
      <c r="J6" s="10"/>
      <c r="K6" s="6"/>
    </row>
    <row r="7" spans="1:11" ht="12.75">
      <c r="A7" s="13" t="s">
        <v>8</v>
      </c>
      <c r="B7" s="7"/>
      <c r="C7" s="11" t="s">
        <v>9</v>
      </c>
      <c r="D7" s="2"/>
      <c r="E7" s="2"/>
      <c r="F7" s="2"/>
      <c r="G7" s="2"/>
      <c r="H7" s="2"/>
      <c r="I7" s="2"/>
      <c r="J7" s="2"/>
      <c r="K7" s="12"/>
    </row>
    <row r="8" spans="1:11" ht="12.75">
      <c r="A8" s="14" t="s">
        <v>4</v>
      </c>
      <c r="B8" s="14" t="s">
        <v>5</v>
      </c>
      <c r="C8" s="15">
        <v>40</v>
      </c>
      <c r="D8" s="15">
        <v>32</v>
      </c>
      <c r="E8" s="15">
        <v>26</v>
      </c>
      <c r="F8" s="15">
        <v>20</v>
      </c>
      <c r="G8" s="15">
        <v>15</v>
      </c>
      <c r="H8" s="17">
        <v>13.8</v>
      </c>
      <c r="I8" s="17">
        <v>12.4</v>
      </c>
      <c r="J8" s="17">
        <v>9.7</v>
      </c>
      <c r="K8" s="17">
        <v>6.4</v>
      </c>
    </row>
    <row r="9" spans="1:12" ht="12.75">
      <c r="A9" s="8">
        <f aca="true" t="shared" si="0" ref="A9:A38">B9/25.4</f>
        <v>2.1653543307086616</v>
      </c>
      <c r="B9" s="9">
        <v>55</v>
      </c>
      <c r="C9" s="16">
        <f>$B$3*($B9-C$8)/C$8/$B$2*$B$2</f>
        <v>225</v>
      </c>
      <c r="D9" s="16">
        <f aca="true" t="shared" si="1" ref="D9:K9">$B$3*($B9-D$8)/D$8/$B$2*$B$2</f>
        <v>431.25</v>
      </c>
      <c r="E9" s="16">
        <f t="shared" si="1"/>
        <v>669.2307692307693</v>
      </c>
      <c r="F9" s="16">
        <f t="shared" si="1"/>
        <v>1050</v>
      </c>
      <c r="G9" s="16">
        <f t="shared" si="1"/>
        <v>1600</v>
      </c>
      <c r="H9" s="16">
        <f t="shared" si="1"/>
        <v>1791.304347826087</v>
      </c>
      <c r="I9" s="16">
        <f t="shared" si="1"/>
        <v>2061.290322580645</v>
      </c>
      <c r="J9" s="16">
        <f t="shared" si="1"/>
        <v>2802.0618556701033</v>
      </c>
      <c r="K9" s="16">
        <f t="shared" si="1"/>
        <v>4556.25</v>
      </c>
      <c r="L9" s="4"/>
    </row>
    <row r="10" spans="1:12" ht="12.75">
      <c r="A10" s="8">
        <f t="shared" si="0"/>
        <v>2.362204724409449</v>
      </c>
      <c r="B10" s="9">
        <f aca="true" t="shared" si="2" ref="B10:B38">B9+5</f>
        <v>60</v>
      </c>
      <c r="C10" s="16">
        <f aca="true" t="shared" si="3" ref="C10:K38">$B$3*($B10-C$8)/C$8/$B$2*$B$2</f>
        <v>300</v>
      </c>
      <c r="D10" s="16">
        <f t="shared" si="3"/>
        <v>525</v>
      </c>
      <c r="E10" s="16">
        <f t="shared" si="3"/>
        <v>784.6153846153846</v>
      </c>
      <c r="F10" s="16">
        <f t="shared" si="3"/>
        <v>1200</v>
      </c>
      <c r="G10" s="16">
        <f t="shared" si="3"/>
        <v>1800</v>
      </c>
      <c r="H10" s="16">
        <f t="shared" si="3"/>
        <v>2008.695652173913</v>
      </c>
      <c r="I10" s="16">
        <f t="shared" si="3"/>
        <v>2303.2258064516127</v>
      </c>
      <c r="J10" s="16">
        <f t="shared" si="3"/>
        <v>3111.3402061855677</v>
      </c>
      <c r="K10" s="16">
        <f t="shared" si="3"/>
        <v>5025</v>
      </c>
      <c r="L10" s="4"/>
    </row>
    <row r="11" spans="1:12" ht="12.75">
      <c r="A11" s="8">
        <f t="shared" si="0"/>
        <v>2.5590551181102366</v>
      </c>
      <c r="B11" s="9">
        <f t="shared" si="2"/>
        <v>65</v>
      </c>
      <c r="C11" s="16">
        <f t="shared" si="3"/>
        <v>375</v>
      </c>
      <c r="D11" s="16">
        <f t="shared" si="3"/>
        <v>618.75</v>
      </c>
      <c r="E11" s="16">
        <f t="shared" si="3"/>
        <v>900</v>
      </c>
      <c r="F11" s="16">
        <f t="shared" si="3"/>
        <v>1350</v>
      </c>
      <c r="G11" s="16">
        <f t="shared" si="3"/>
        <v>2000</v>
      </c>
      <c r="H11" s="16">
        <f t="shared" si="3"/>
        <v>2226.086956521739</v>
      </c>
      <c r="I11" s="16">
        <f t="shared" si="3"/>
        <v>2545.1612903225805</v>
      </c>
      <c r="J11" s="16">
        <f t="shared" si="3"/>
        <v>3420.618556701031</v>
      </c>
      <c r="K11" s="16">
        <f t="shared" si="3"/>
        <v>5493.75</v>
      </c>
      <c r="L11" s="4"/>
    </row>
    <row r="12" spans="1:12" ht="12.75">
      <c r="A12" s="8">
        <f t="shared" si="0"/>
        <v>2.7559055118110236</v>
      </c>
      <c r="B12" s="9">
        <f t="shared" si="2"/>
        <v>70</v>
      </c>
      <c r="C12" s="16">
        <f t="shared" si="3"/>
        <v>450</v>
      </c>
      <c r="D12" s="16">
        <f t="shared" si="3"/>
        <v>712.5</v>
      </c>
      <c r="E12" s="16">
        <f t="shared" si="3"/>
        <v>1015.3846153846154</v>
      </c>
      <c r="F12" s="16">
        <f t="shared" si="3"/>
        <v>1500</v>
      </c>
      <c r="G12" s="16">
        <f t="shared" si="3"/>
        <v>2200</v>
      </c>
      <c r="H12" s="16">
        <f t="shared" si="3"/>
        <v>2443.478260869565</v>
      </c>
      <c r="I12" s="16">
        <f t="shared" si="3"/>
        <v>2787.0967741935483</v>
      </c>
      <c r="J12" s="16">
        <f t="shared" si="3"/>
        <v>3729.8969072164946</v>
      </c>
      <c r="K12" s="16">
        <f t="shared" si="3"/>
        <v>5962.5</v>
      </c>
      <c r="L12" s="4"/>
    </row>
    <row r="13" spans="1:12" ht="12.75">
      <c r="A13" s="8">
        <f t="shared" si="0"/>
        <v>2.952755905511811</v>
      </c>
      <c r="B13" s="9">
        <f t="shared" si="2"/>
        <v>75</v>
      </c>
      <c r="C13" s="16">
        <f t="shared" si="3"/>
        <v>525</v>
      </c>
      <c r="D13" s="16">
        <f t="shared" si="3"/>
        <v>806.25</v>
      </c>
      <c r="E13" s="16">
        <f t="shared" si="3"/>
        <v>1130.7692307692307</v>
      </c>
      <c r="F13" s="16">
        <f t="shared" si="3"/>
        <v>1650</v>
      </c>
      <c r="G13" s="16">
        <f t="shared" si="3"/>
        <v>2400</v>
      </c>
      <c r="H13" s="16">
        <f t="shared" si="3"/>
        <v>2660.869565217391</v>
      </c>
      <c r="I13" s="16">
        <f t="shared" si="3"/>
        <v>3029.032258064516</v>
      </c>
      <c r="J13" s="16">
        <f t="shared" si="3"/>
        <v>4039.175257731959</v>
      </c>
      <c r="K13" s="16">
        <f t="shared" si="3"/>
        <v>6431.25</v>
      </c>
      <c r="L13" s="4"/>
    </row>
    <row r="14" spans="1:12" ht="12.75">
      <c r="A14" s="8">
        <f t="shared" si="0"/>
        <v>3.1496062992125986</v>
      </c>
      <c r="B14" s="9">
        <f t="shared" si="2"/>
        <v>80</v>
      </c>
      <c r="C14" s="16">
        <f t="shared" si="3"/>
        <v>600</v>
      </c>
      <c r="D14" s="16">
        <f t="shared" si="3"/>
        <v>900</v>
      </c>
      <c r="E14" s="16">
        <f t="shared" si="3"/>
        <v>1246.1538461538462</v>
      </c>
      <c r="F14" s="16">
        <f t="shared" si="3"/>
        <v>1800</v>
      </c>
      <c r="G14" s="16">
        <f t="shared" si="3"/>
        <v>2600</v>
      </c>
      <c r="H14" s="16">
        <f t="shared" si="3"/>
        <v>2878.260869565217</v>
      </c>
      <c r="I14" s="16">
        <f t="shared" si="3"/>
        <v>3270.967741935484</v>
      </c>
      <c r="J14" s="16">
        <f t="shared" si="3"/>
        <v>4348.453608247423</v>
      </c>
      <c r="K14" s="16">
        <f t="shared" si="3"/>
        <v>6900</v>
      </c>
      <c r="L14" s="4"/>
    </row>
    <row r="15" spans="1:12" ht="12.75">
      <c r="A15" s="8">
        <f t="shared" si="0"/>
        <v>3.346456692913386</v>
      </c>
      <c r="B15" s="9">
        <f t="shared" si="2"/>
        <v>85</v>
      </c>
      <c r="C15" s="16">
        <f t="shared" si="3"/>
        <v>675</v>
      </c>
      <c r="D15" s="16">
        <f t="shared" si="3"/>
        <v>993.75</v>
      </c>
      <c r="E15" s="16">
        <f t="shared" si="3"/>
        <v>1361.5384615384614</v>
      </c>
      <c r="F15" s="16">
        <f t="shared" si="3"/>
        <v>1950</v>
      </c>
      <c r="G15" s="16">
        <f t="shared" si="3"/>
        <v>2800</v>
      </c>
      <c r="H15" s="16">
        <f t="shared" si="3"/>
        <v>3095.652173913044</v>
      </c>
      <c r="I15" s="16">
        <f t="shared" si="3"/>
        <v>3512.9032258064517</v>
      </c>
      <c r="J15" s="16">
        <f t="shared" si="3"/>
        <v>4657.731958762887</v>
      </c>
      <c r="K15" s="16">
        <f t="shared" si="3"/>
        <v>7368.75</v>
      </c>
      <c r="L15" s="4"/>
    </row>
    <row r="16" spans="1:12" ht="12.75">
      <c r="A16" s="8">
        <f t="shared" si="0"/>
        <v>3.5433070866141736</v>
      </c>
      <c r="B16" s="9">
        <f t="shared" si="2"/>
        <v>90</v>
      </c>
      <c r="C16" s="16">
        <f t="shared" si="3"/>
        <v>750</v>
      </c>
      <c r="D16" s="16">
        <f t="shared" si="3"/>
        <v>1087.5</v>
      </c>
      <c r="E16" s="16">
        <f t="shared" si="3"/>
        <v>1476.9230769230767</v>
      </c>
      <c r="F16" s="16">
        <f t="shared" si="3"/>
        <v>2100</v>
      </c>
      <c r="G16" s="16">
        <f t="shared" si="3"/>
        <v>3000</v>
      </c>
      <c r="H16" s="16">
        <f t="shared" si="3"/>
        <v>3313.0434782608695</v>
      </c>
      <c r="I16" s="16">
        <f t="shared" si="3"/>
        <v>3754.838709677419</v>
      </c>
      <c r="J16" s="16">
        <f t="shared" si="3"/>
        <v>4967.010309278351</v>
      </c>
      <c r="K16" s="16">
        <f t="shared" si="3"/>
        <v>7837.5</v>
      </c>
      <c r="L16" s="4"/>
    </row>
    <row r="17" spans="1:12" ht="12.75">
      <c r="A17" s="8">
        <f t="shared" si="0"/>
        <v>3.7401574803149606</v>
      </c>
      <c r="B17" s="9">
        <f t="shared" si="2"/>
        <v>95</v>
      </c>
      <c r="C17" s="16">
        <f t="shared" si="3"/>
        <v>825</v>
      </c>
      <c r="D17" s="16">
        <f t="shared" si="3"/>
        <v>1181.25</v>
      </c>
      <c r="E17" s="16">
        <f t="shared" si="3"/>
        <v>1592.3076923076924</v>
      </c>
      <c r="F17" s="16">
        <f t="shared" si="3"/>
        <v>2250</v>
      </c>
      <c r="G17" s="16">
        <f t="shared" si="3"/>
        <v>3200</v>
      </c>
      <c r="H17" s="16">
        <f t="shared" si="3"/>
        <v>3530.4347826086955</v>
      </c>
      <c r="I17" s="16">
        <f t="shared" si="3"/>
        <v>3996.7741935483864</v>
      </c>
      <c r="J17" s="16">
        <f t="shared" si="3"/>
        <v>5276.288659793816</v>
      </c>
      <c r="K17" s="16">
        <f t="shared" si="3"/>
        <v>8306.25</v>
      </c>
      <c r="L17" s="4"/>
    </row>
    <row r="18" spans="1:12" ht="12.75">
      <c r="A18" s="8">
        <f t="shared" si="0"/>
        <v>3.937007874015748</v>
      </c>
      <c r="B18" s="9">
        <f t="shared" si="2"/>
        <v>100</v>
      </c>
      <c r="C18" s="16">
        <f t="shared" si="3"/>
        <v>900</v>
      </c>
      <c r="D18" s="16">
        <f t="shared" si="3"/>
        <v>1275</v>
      </c>
      <c r="E18" s="16">
        <f t="shared" si="3"/>
        <v>1707.6923076923076</v>
      </c>
      <c r="F18" s="16">
        <f t="shared" si="3"/>
        <v>2400</v>
      </c>
      <c r="G18" s="16">
        <f t="shared" si="3"/>
        <v>3400</v>
      </c>
      <c r="H18" s="16">
        <f t="shared" si="3"/>
        <v>3747.826086956521</v>
      </c>
      <c r="I18" s="16">
        <f t="shared" si="3"/>
        <v>4238.709677419355</v>
      </c>
      <c r="J18" s="16">
        <f t="shared" si="3"/>
        <v>5585.567010309279</v>
      </c>
      <c r="K18" s="16">
        <f t="shared" si="3"/>
        <v>8775</v>
      </c>
      <c r="L18" s="4"/>
    </row>
    <row r="19" spans="1:12" ht="12.75">
      <c r="A19" s="8">
        <f t="shared" si="0"/>
        <v>4.133858267716536</v>
      </c>
      <c r="B19" s="9">
        <f t="shared" si="2"/>
        <v>105</v>
      </c>
      <c r="C19" s="16">
        <f t="shared" si="3"/>
        <v>975</v>
      </c>
      <c r="D19" s="16">
        <f t="shared" si="3"/>
        <v>1368.75</v>
      </c>
      <c r="E19" s="16">
        <f t="shared" si="3"/>
        <v>1823.0769230769233</v>
      </c>
      <c r="F19" s="16">
        <f t="shared" si="3"/>
        <v>2550</v>
      </c>
      <c r="G19" s="16">
        <f t="shared" si="3"/>
        <v>3600</v>
      </c>
      <c r="H19" s="16">
        <f t="shared" si="3"/>
        <v>3965.2173913043475</v>
      </c>
      <c r="I19" s="16">
        <f t="shared" si="3"/>
        <v>4480.645161290323</v>
      </c>
      <c r="J19" s="16">
        <f t="shared" si="3"/>
        <v>5894.845360824743</v>
      </c>
      <c r="K19" s="16">
        <f t="shared" si="3"/>
        <v>9243.75</v>
      </c>
      <c r="L19" s="4"/>
    </row>
    <row r="20" spans="1:12" ht="12.75">
      <c r="A20" s="8">
        <f t="shared" si="0"/>
        <v>4.330708661417323</v>
      </c>
      <c r="B20" s="9">
        <f t="shared" si="2"/>
        <v>110</v>
      </c>
      <c r="C20" s="16">
        <f t="shared" si="3"/>
        <v>1050</v>
      </c>
      <c r="D20" s="16">
        <f t="shared" si="3"/>
        <v>1462.5</v>
      </c>
      <c r="E20" s="16">
        <f t="shared" si="3"/>
        <v>1938.4615384615386</v>
      </c>
      <c r="F20" s="16">
        <f t="shared" si="3"/>
        <v>2700</v>
      </c>
      <c r="G20" s="16">
        <f t="shared" si="3"/>
        <v>3800</v>
      </c>
      <c r="H20" s="16">
        <f t="shared" si="3"/>
        <v>4182.608695652174</v>
      </c>
      <c r="I20" s="16">
        <f t="shared" si="3"/>
        <v>4722.58064516129</v>
      </c>
      <c r="J20" s="16">
        <f t="shared" si="3"/>
        <v>6204.123711340207</v>
      </c>
      <c r="K20" s="16">
        <f t="shared" si="3"/>
        <v>9712.5</v>
      </c>
      <c r="L20" s="4"/>
    </row>
    <row r="21" spans="1:12" ht="12.75">
      <c r="A21" s="8">
        <f t="shared" si="0"/>
        <v>4.52755905511811</v>
      </c>
      <c r="B21" s="9">
        <f t="shared" si="2"/>
        <v>115</v>
      </c>
      <c r="C21" s="16">
        <f t="shared" si="3"/>
        <v>1125</v>
      </c>
      <c r="D21" s="16">
        <f t="shared" si="3"/>
        <v>1556.25</v>
      </c>
      <c r="E21" s="16">
        <f t="shared" si="3"/>
        <v>2053.846153846154</v>
      </c>
      <c r="F21" s="16">
        <f t="shared" si="3"/>
        <v>2850</v>
      </c>
      <c r="G21" s="16">
        <f t="shared" si="3"/>
        <v>4000</v>
      </c>
      <c r="H21" s="16">
        <f t="shared" si="3"/>
        <v>4400</v>
      </c>
      <c r="I21" s="16">
        <f t="shared" si="3"/>
        <v>4964.516129032258</v>
      </c>
      <c r="J21" s="16">
        <f t="shared" si="3"/>
        <v>6513.40206185567</v>
      </c>
      <c r="K21" s="16">
        <f t="shared" si="3"/>
        <v>10181.25</v>
      </c>
      <c r="L21" s="4"/>
    </row>
    <row r="22" spans="1:12" ht="12.75">
      <c r="A22" s="8">
        <f t="shared" si="0"/>
        <v>4.724409448818898</v>
      </c>
      <c r="B22" s="9">
        <f t="shared" si="2"/>
        <v>120</v>
      </c>
      <c r="C22" s="16">
        <f t="shared" si="3"/>
        <v>1200</v>
      </c>
      <c r="D22" s="16">
        <f t="shared" si="3"/>
        <v>1650</v>
      </c>
      <c r="E22" s="16">
        <f t="shared" si="3"/>
        <v>2169.230769230769</v>
      </c>
      <c r="F22" s="16">
        <f t="shared" si="3"/>
        <v>3000</v>
      </c>
      <c r="G22" s="16">
        <f t="shared" si="3"/>
        <v>4200</v>
      </c>
      <c r="H22" s="16">
        <f t="shared" si="3"/>
        <v>4617.391304347826</v>
      </c>
      <c r="I22" s="16">
        <f t="shared" si="3"/>
        <v>5206.451612903225</v>
      </c>
      <c r="J22" s="16">
        <f t="shared" si="3"/>
        <v>6822.680412371135</v>
      </c>
      <c r="K22" s="16">
        <f t="shared" si="3"/>
        <v>10650</v>
      </c>
      <c r="L22" s="4"/>
    </row>
    <row r="23" spans="1:12" ht="12.75">
      <c r="A23" s="8">
        <f t="shared" si="0"/>
        <v>4.921259842519685</v>
      </c>
      <c r="B23" s="9">
        <f t="shared" si="2"/>
        <v>125</v>
      </c>
      <c r="C23" s="16">
        <f t="shared" si="3"/>
        <v>1275</v>
      </c>
      <c r="D23" s="16">
        <f t="shared" si="3"/>
        <v>1743.75</v>
      </c>
      <c r="E23" s="16">
        <f t="shared" si="3"/>
        <v>2284.6153846153848</v>
      </c>
      <c r="F23" s="16">
        <f t="shared" si="3"/>
        <v>3150</v>
      </c>
      <c r="G23" s="16">
        <f t="shared" si="3"/>
        <v>4400</v>
      </c>
      <c r="H23" s="16">
        <f t="shared" si="3"/>
        <v>4834.782608695652</v>
      </c>
      <c r="I23" s="16">
        <f t="shared" si="3"/>
        <v>5448.387096774193</v>
      </c>
      <c r="J23" s="16">
        <f t="shared" si="3"/>
        <v>7131.958762886598</v>
      </c>
      <c r="K23" s="16">
        <f t="shared" si="3"/>
        <v>11118.75</v>
      </c>
      <c r="L23" s="4"/>
    </row>
    <row r="24" spans="1:12" ht="12.75">
      <c r="A24" s="8">
        <f t="shared" si="0"/>
        <v>5.118110236220473</v>
      </c>
      <c r="B24" s="9">
        <f t="shared" si="2"/>
        <v>130</v>
      </c>
      <c r="C24" s="16">
        <f t="shared" si="3"/>
        <v>1350</v>
      </c>
      <c r="D24" s="16">
        <f t="shared" si="3"/>
        <v>1837.5</v>
      </c>
      <c r="E24" s="16">
        <f t="shared" si="3"/>
        <v>2400</v>
      </c>
      <c r="F24" s="16">
        <f t="shared" si="3"/>
        <v>3300</v>
      </c>
      <c r="G24" s="16">
        <f t="shared" si="3"/>
        <v>4600</v>
      </c>
      <c r="H24" s="16">
        <f t="shared" si="3"/>
        <v>5052.173913043478</v>
      </c>
      <c r="I24" s="16">
        <f t="shared" si="3"/>
        <v>5690.322580645161</v>
      </c>
      <c r="J24" s="16">
        <f t="shared" si="3"/>
        <v>7441.237113402062</v>
      </c>
      <c r="K24" s="16">
        <f t="shared" si="3"/>
        <v>11587.5</v>
      </c>
      <c r="L24" s="4"/>
    </row>
    <row r="25" spans="1:12" ht="12.75">
      <c r="A25" s="8">
        <f t="shared" si="0"/>
        <v>5.31496062992126</v>
      </c>
      <c r="B25" s="9">
        <f t="shared" si="2"/>
        <v>135</v>
      </c>
      <c r="C25" s="16">
        <f t="shared" si="3"/>
        <v>1425</v>
      </c>
      <c r="D25" s="16">
        <f t="shared" si="3"/>
        <v>1931.25</v>
      </c>
      <c r="E25" s="16">
        <f t="shared" si="3"/>
        <v>2515.3846153846152</v>
      </c>
      <c r="F25" s="16">
        <f t="shared" si="3"/>
        <v>3450</v>
      </c>
      <c r="G25" s="16">
        <f t="shared" si="3"/>
        <v>4800</v>
      </c>
      <c r="H25" s="16">
        <f t="shared" si="3"/>
        <v>5269.565217391304</v>
      </c>
      <c r="I25" s="16">
        <f t="shared" si="3"/>
        <v>5932.258064516129</v>
      </c>
      <c r="J25" s="16">
        <f t="shared" si="3"/>
        <v>7750.515463917526</v>
      </c>
      <c r="K25" s="16">
        <f t="shared" si="3"/>
        <v>12056.25</v>
      </c>
      <c r="L25" s="4"/>
    </row>
    <row r="26" spans="1:12" ht="12.75">
      <c r="A26" s="8">
        <f t="shared" si="0"/>
        <v>5.511811023622047</v>
      </c>
      <c r="B26" s="9">
        <f t="shared" si="2"/>
        <v>140</v>
      </c>
      <c r="C26" s="16">
        <f t="shared" si="3"/>
        <v>1500</v>
      </c>
      <c r="D26" s="16">
        <f t="shared" si="3"/>
        <v>2025</v>
      </c>
      <c r="E26" s="16">
        <f t="shared" si="3"/>
        <v>2630.769230769231</v>
      </c>
      <c r="F26" s="16">
        <f t="shared" si="3"/>
        <v>3600</v>
      </c>
      <c r="G26" s="16">
        <f t="shared" si="3"/>
        <v>5000</v>
      </c>
      <c r="H26" s="16">
        <f t="shared" si="3"/>
        <v>5486.95652173913</v>
      </c>
      <c r="I26" s="16">
        <f t="shared" si="3"/>
        <v>6174.193548387097</v>
      </c>
      <c r="J26" s="16">
        <f t="shared" si="3"/>
        <v>8059.793814432989</v>
      </c>
      <c r="K26" s="16">
        <f t="shared" si="3"/>
        <v>12525</v>
      </c>
      <c r="L26" s="4"/>
    </row>
    <row r="27" spans="1:12" ht="12.75">
      <c r="A27" s="8">
        <f t="shared" si="0"/>
        <v>5.708661417322835</v>
      </c>
      <c r="B27" s="9">
        <f t="shared" si="2"/>
        <v>145</v>
      </c>
      <c r="C27" s="16">
        <f t="shared" si="3"/>
        <v>1575</v>
      </c>
      <c r="D27" s="16">
        <f t="shared" si="3"/>
        <v>2118.75</v>
      </c>
      <c r="E27" s="16">
        <f t="shared" si="3"/>
        <v>2746.1538461538466</v>
      </c>
      <c r="F27" s="16">
        <f t="shared" si="3"/>
        <v>3750</v>
      </c>
      <c r="G27" s="16">
        <f t="shared" si="3"/>
        <v>5200</v>
      </c>
      <c r="H27" s="16">
        <f t="shared" si="3"/>
        <v>5704.347826086956</v>
      </c>
      <c r="I27" s="16">
        <f t="shared" si="3"/>
        <v>6416.129032258064</v>
      </c>
      <c r="J27" s="16">
        <f t="shared" si="3"/>
        <v>8369.072164948455</v>
      </c>
      <c r="K27" s="16">
        <f t="shared" si="3"/>
        <v>12993.75</v>
      </c>
      <c r="L27" s="4"/>
    </row>
    <row r="28" spans="1:12" ht="12.75">
      <c r="A28" s="8">
        <f t="shared" si="0"/>
        <v>5.905511811023622</v>
      </c>
      <c r="B28" s="9">
        <f t="shared" si="2"/>
        <v>150</v>
      </c>
      <c r="C28" s="16">
        <f t="shared" si="3"/>
        <v>1650</v>
      </c>
      <c r="D28" s="16">
        <f t="shared" si="3"/>
        <v>2212.5</v>
      </c>
      <c r="E28" s="16">
        <f t="shared" si="3"/>
        <v>2861.5384615384614</v>
      </c>
      <c r="F28" s="16">
        <f t="shared" si="3"/>
        <v>3900</v>
      </c>
      <c r="G28" s="16">
        <f t="shared" si="3"/>
        <v>5400</v>
      </c>
      <c r="H28" s="16">
        <f t="shared" si="3"/>
        <v>5921.739130434782</v>
      </c>
      <c r="I28" s="16">
        <f t="shared" si="3"/>
        <v>6658.064516129032</v>
      </c>
      <c r="J28" s="16">
        <f t="shared" si="3"/>
        <v>8678.350515463919</v>
      </c>
      <c r="K28" s="16">
        <f t="shared" si="3"/>
        <v>13462.5</v>
      </c>
      <c r="L28" s="4"/>
    </row>
    <row r="29" spans="1:12" ht="12.75">
      <c r="A29" s="8">
        <f t="shared" si="0"/>
        <v>6.10236220472441</v>
      </c>
      <c r="B29" s="9">
        <f t="shared" si="2"/>
        <v>155</v>
      </c>
      <c r="C29" s="16">
        <f t="shared" si="3"/>
        <v>1725</v>
      </c>
      <c r="D29" s="16">
        <f t="shared" si="3"/>
        <v>2306.25</v>
      </c>
      <c r="E29" s="16">
        <f t="shared" si="3"/>
        <v>2976.923076923077</v>
      </c>
      <c r="F29" s="16">
        <f t="shared" si="3"/>
        <v>4050</v>
      </c>
      <c r="G29" s="16">
        <f t="shared" si="3"/>
        <v>5600</v>
      </c>
      <c r="H29" s="16">
        <f t="shared" si="3"/>
        <v>6139.130434782608</v>
      </c>
      <c r="I29" s="16">
        <f t="shared" si="3"/>
        <v>6900</v>
      </c>
      <c r="J29" s="16">
        <f t="shared" si="3"/>
        <v>8987.628865979383</v>
      </c>
      <c r="K29" s="16">
        <f t="shared" si="3"/>
        <v>13931.25</v>
      </c>
      <c r="L29" s="4"/>
    </row>
    <row r="30" spans="1:12" ht="12.75">
      <c r="A30" s="8">
        <f t="shared" si="0"/>
        <v>6.299212598425197</v>
      </c>
      <c r="B30" s="9">
        <f t="shared" si="2"/>
        <v>160</v>
      </c>
      <c r="C30" s="16">
        <f t="shared" si="3"/>
        <v>1800</v>
      </c>
      <c r="D30" s="16">
        <f t="shared" si="3"/>
        <v>2400</v>
      </c>
      <c r="E30" s="16">
        <f t="shared" si="3"/>
        <v>3092.3076923076924</v>
      </c>
      <c r="F30" s="16">
        <f t="shared" si="3"/>
        <v>4200</v>
      </c>
      <c r="G30" s="16">
        <f t="shared" si="3"/>
        <v>5800</v>
      </c>
      <c r="H30" s="16">
        <f t="shared" si="3"/>
        <v>6356.521739130434</v>
      </c>
      <c r="I30" s="16">
        <f t="shared" si="3"/>
        <v>7141.935483870968</v>
      </c>
      <c r="J30" s="16">
        <f t="shared" si="3"/>
        <v>9296.907216494847</v>
      </c>
      <c r="K30" s="16">
        <f t="shared" si="3"/>
        <v>14400</v>
      </c>
      <c r="L30" s="4"/>
    </row>
    <row r="31" spans="1:12" ht="12.75">
      <c r="A31" s="8">
        <f t="shared" si="0"/>
        <v>6.496062992125984</v>
      </c>
      <c r="B31" s="9">
        <f t="shared" si="2"/>
        <v>165</v>
      </c>
      <c r="C31" s="16">
        <f t="shared" si="3"/>
        <v>1875</v>
      </c>
      <c r="D31" s="16">
        <f t="shared" si="3"/>
        <v>2493.75</v>
      </c>
      <c r="E31" s="16">
        <f t="shared" si="3"/>
        <v>3207.6923076923076</v>
      </c>
      <c r="F31" s="16">
        <f t="shared" si="3"/>
        <v>4350</v>
      </c>
      <c r="G31" s="16">
        <f t="shared" si="3"/>
        <v>6000</v>
      </c>
      <c r="H31" s="16">
        <f t="shared" si="3"/>
        <v>6573.91304347826</v>
      </c>
      <c r="I31" s="16">
        <f t="shared" si="3"/>
        <v>7383.870967741936</v>
      </c>
      <c r="J31" s="16">
        <f t="shared" si="3"/>
        <v>9606.18556701031</v>
      </c>
      <c r="K31" s="16">
        <f t="shared" si="3"/>
        <v>14868.75</v>
      </c>
      <c r="L31" s="4"/>
    </row>
    <row r="32" spans="1:12" ht="12.75">
      <c r="A32" s="8">
        <f t="shared" si="0"/>
        <v>6.692913385826772</v>
      </c>
      <c r="B32" s="9">
        <f t="shared" si="2"/>
        <v>170</v>
      </c>
      <c r="C32" s="16">
        <f t="shared" si="3"/>
        <v>1950</v>
      </c>
      <c r="D32" s="16">
        <f t="shared" si="3"/>
        <v>2587.5</v>
      </c>
      <c r="E32" s="16">
        <f t="shared" si="3"/>
        <v>3323.076923076923</v>
      </c>
      <c r="F32" s="16">
        <f t="shared" si="3"/>
        <v>4500</v>
      </c>
      <c r="G32" s="16">
        <f t="shared" si="3"/>
        <v>6200</v>
      </c>
      <c r="H32" s="16">
        <f t="shared" si="3"/>
        <v>6791.304347826088</v>
      </c>
      <c r="I32" s="16">
        <f t="shared" si="3"/>
        <v>7625.806451612903</v>
      </c>
      <c r="J32" s="16">
        <f t="shared" si="3"/>
        <v>9915.463917525774</v>
      </c>
      <c r="K32" s="16">
        <f t="shared" si="3"/>
        <v>15337.5</v>
      </c>
      <c r="L32" s="4"/>
    </row>
    <row r="33" spans="1:12" ht="12.75">
      <c r="A33" s="8">
        <f t="shared" si="0"/>
        <v>6.889763779527559</v>
      </c>
      <c r="B33" s="9">
        <f t="shared" si="2"/>
        <v>175</v>
      </c>
      <c r="C33" s="16">
        <f t="shared" si="3"/>
        <v>2025</v>
      </c>
      <c r="D33" s="16">
        <f t="shared" si="3"/>
        <v>2681.25</v>
      </c>
      <c r="E33" s="16">
        <f t="shared" si="3"/>
        <v>3438.4615384615386</v>
      </c>
      <c r="F33" s="16">
        <f t="shared" si="3"/>
        <v>4650</v>
      </c>
      <c r="G33" s="16">
        <f t="shared" si="3"/>
        <v>6400</v>
      </c>
      <c r="H33" s="16">
        <f t="shared" si="3"/>
        <v>7008.695652173912</v>
      </c>
      <c r="I33" s="16">
        <f t="shared" si="3"/>
        <v>7867.741935483871</v>
      </c>
      <c r="J33" s="16">
        <f t="shared" si="3"/>
        <v>10224.742268041238</v>
      </c>
      <c r="K33" s="16">
        <f t="shared" si="3"/>
        <v>15806.25</v>
      </c>
      <c r="L33" s="4"/>
    </row>
    <row r="34" spans="1:12" ht="12.75">
      <c r="A34" s="8">
        <f t="shared" si="0"/>
        <v>7.086614173228347</v>
      </c>
      <c r="B34" s="9">
        <f t="shared" si="2"/>
        <v>180</v>
      </c>
      <c r="C34" s="16">
        <f t="shared" si="3"/>
        <v>2100</v>
      </c>
      <c r="D34" s="16">
        <f t="shared" si="3"/>
        <v>2775</v>
      </c>
      <c r="E34" s="16">
        <f t="shared" si="3"/>
        <v>3553.8461538461534</v>
      </c>
      <c r="F34" s="16">
        <f t="shared" si="3"/>
        <v>4800</v>
      </c>
      <c r="G34" s="16">
        <f t="shared" si="3"/>
        <v>6600</v>
      </c>
      <c r="H34" s="16">
        <f t="shared" si="3"/>
        <v>7226.086956521739</v>
      </c>
      <c r="I34" s="16">
        <f t="shared" si="3"/>
        <v>8109.677419354838</v>
      </c>
      <c r="J34" s="16">
        <f t="shared" si="3"/>
        <v>10534.0206185567</v>
      </c>
      <c r="K34" s="16">
        <f t="shared" si="3"/>
        <v>16275</v>
      </c>
      <c r="L34" s="4"/>
    </row>
    <row r="35" spans="1:12" ht="12.75">
      <c r="A35" s="8">
        <f t="shared" si="0"/>
        <v>7.283464566929134</v>
      </c>
      <c r="B35" s="9">
        <f t="shared" si="2"/>
        <v>185</v>
      </c>
      <c r="C35" s="16">
        <f t="shared" si="3"/>
        <v>2175</v>
      </c>
      <c r="D35" s="16">
        <f t="shared" si="3"/>
        <v>2868.75</v>
      </c>
      <c r="E35" s="16">
        <f t="shared" si="3"/>
        <v>3669.230769230769</v>
      </c>
      <c r="F35" s="16">
        <f t="shared" si="3"/>
        <v>4950</v>
      </c>
      <c r="G35" s="16">
        <f t="shared" si="3"/>
        <v>6800</v>
      </c>
      <c r="H35" s="16">
        <f t="shared" si="3"/>
        <v>7443.478260869565</v>
      </c>
      <c r="I35" s="16">
        <f t="shared" si="3"/>
        <v>8351.612903225807</v>
      </c>
      <c r="J35" s="16">
        <f t="shared" si="3"/>
        <v>10843.298969072166</v>
      </c>
      <c r="K35" s="16">
        <f t="shared" si="3"/>
        <v>16743.75</v>
      </c>
      <c r="L35" s="4"/>
    </row>
    <row r="36" spans="1:12" ht="12.75">
      <c r="A36" s="8">
        <f t="shared" si="0"/>
        <v>7.480314960629921</v>
      </c>
      <c r="B36" s="9">
        <f t="shared" si="2"/>
        <v>190</v>
      </c>
      <c r="C36" s="16">
        <f t="shared" si="3"/>
        <v>2250</v>
      </c>
      <c r="D36" s="16">
        <f t="shared" si="3"/>
        <v>2962.5</v>
      </c>
      <c r="E36" s="16">
        <f t="shared" si="3"/>
        <v>3784.6153846153848</v>
      </c>
      <c r="F36" s="16">
        <f t="shared" si="3"/>
        <v>5100</v>
      </c>
      <c r="G36" s="16">
        <f t="shared" si="3"/>
        <v>7000</v>
      </c>
      <c r="H36" s="16">
        <f t="shared" si="3"/>
        <v>7660.869565217391</v>
      </c>
      <c r="I36" s="16">
        <f t="shared" si="3"/>
        <v>8593.548387096775</v>
      </c>
      <c r="J36" s="16">
        <f t="shared" si="3"/>
        <v>11152.577319587632</v>
      </c>
      <c r="K36" s="16">
        <f t="shared" si="3"/>
        <v>17212.5</v>
      </c>
      <c r="L36" s="4"/>
    </row>
    <row r="37" spans="1:12" ht="12.75">
      <c r="A37" s="8">
        <f t="shared" si="0"/>
        <v>7.677165354330709</v>
      </c>
      <c r="B37" s="9">
        <f t="shared" si="2"/>
        <v>195</v>
      </c>
      <c r="C37" s="16">
        <f t="shared" si="3"/>
        <v>2325</v>
      </c>
      <c r="D37" s="16">
        <f t="shared" si="3"/>
        <v>3056.25</v>
      </c>
      <c r="E37" s="16">
        <f t="shared" si="3"/>
        <v>3900</v>
      </c>
      <c r="F37" s="16">
        <f t="shared" si="3"/>
        <v>5250</v>
      </c>
      <c r="G37" s="16">
        <f t="shared" si="3"/>
        <v>7200</v>
      </c>
      <c r="H37" s="16">
        <f t="shared" si="3"/>
        <v>7878.260869565218</v>
      </c>
      <c r="I37" s="16">
        <f t="shared" si="3"/>
        <v>8835.483870967742</v>
      </c>
      <c r="J37" s="16">
        <f t="shared" si="3"/>
        <v>11461.855670103094</v>
      </c>
      <c r="K37" s="16">
        <f t="shared" si="3"/>
        <v>17681.25</v>
      </c>
      <c r="L37" s="4"/>
    </row>
    <row r="38" spans="1:12" ht="12.75">
      <c r="A38" s="8">
        <f t="shared" si="0"/>
        <v>7.874015748031496</v>
      </c>
      <c r="B38" s="9">
        <f t="shared" si="2"/>
        <v>200</v>
      </c>
      <c r="C38" s="16">
        <f t="shared" si="3"/>
        <v>2400</v>
      </c>
      <c r="D38" s="16">
        <f t="shared" si="3"/>
        <v>3150</v>
      </c>
      <c r="E38" s="16">
        <f t="shared" si="3"/>
        <v>4015.3846153846152</v>
      </c>
      <c r="F38" s="16">
        <f aca="true" t="shared" si="4" ref="F38:K38">$B$3*($B38-F$8)/F$8/$B$2*$B$2</f>
        <v>5400</v>
      </c>
      <c r="G38" s="16">
        <f t="shared" si="4"/>
        <v>7400</v>
      </c>
      <c r="H38" s="16">
        <f t="shared" si="4"/>
        <v>8095.652173913042</v>
      </c>
      <c r="I38" s="16">
        <f t="shared" si="4"/>
        <v>9077.41935483871</v>
      </c>
      <c r="J38" s="16">
        <f t="shared" si="4"/>
        <v>11771.134020618558</v>
      </c>
      <c r="K38" s="16">
        <f t="shared" si="4"/>
        <v>18150</v>
      </c>
      <c r="L38" s="4"/>
    </row>
    <row r="39" spans="3:12" ht="12.7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2.7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2.7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2.7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2.7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2.75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2.7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2.7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2.75"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printOptions horizontalCentered="1" verticalCentered="1"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J. Gares II</dc:creator>
  <cp:keywords/>
  <dc:description/>
  <cp:lastModifiedBy>DJGARES</cp:lastModifiedBy>
  <cp:lastPrinted>2005-01-22T16:02:50Z</cp:lastPrinted>
  <dcterms:created xsi:type="dcterms:W3CDTF">2001-01-06T22:24:11Z</dcterms:created>
  <dcterms:modified xsi:type="dcterms:W3CDTF">2012-06-23T02:05:39Z</dcterms:modified>
  <cp:category/>
  <cp:version/>
  <cp:contentType/>
  <cp:contentStatus/>
</cp:coreProperties>
</file>